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SReid500\Desktop\Resource Copies\"/>
    </mc:Choice>
  </mc:AlternateContent>
  <xr:revisionPtr revIDLastSave="0" documentId="13_ncr:1_{1B912EBB-E0C5-439B-89DE-4F9C3F109451}" xr6:coauthVersionLast="46" xr6:coauthVersionMax="46" xr10:uidLastSave="{00000000-0000-0000-0000-000000000000}"/>
  <bookViews>
    <workbookView xWindow="29160" yWindow="255" windowWidth="23550" windowHeight="15240" xr2:uid="{00000000-000D-0000-FFFF-FFFF00000000}"/>
  </bookViews>
  <sheets>
    <sheet name="Sources &amp; Uses Overall" sheetId="3" r:id="rId1"/>
    <sheet name="Uses Detail" sheetId="7" r:id="rId2"/>
    <sheet name="S&amp;U Cash Flow by Stage" sheetId="2"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3" i="2" l="1"/>
  <c r="B55" i="2" l="1"/>
  <c r="C37" i="3" l="1"/>
  <c r="C40" i="7" s="1"/>
  <c r="B41" i="2" s="1"/>
  <c r="C28" i="3"/>
  <c r="C27" i="3"/>
  <c r="C29" i="3"/>
  <c r="D75" i="3" s="1"/>
  <c r="C12" i="3"/>
  <c r="C40" i="3" s="1"/>
  <c r="C43" i="7" s="1"/>
  <c r="B44" i="2" s="1"/>
  <c r="C31" i="7"/>
  <c r="B33" i="2" s="1"/>
  <c r="B35" i="7"/>
  <c r="B37" i="2" s="1"/>
  <c r="F37" i="2" s="1"/>
  <c r="J37" i="2" s="1"/>
  <c r="K37" i="2" s="1"/>
  <c r="B36" i="7"/>
  <c r="B38" i="2" s="1"/>
  <c r="B50" i="2"/>
  <c r="C50" i="2" s="1"/>
  <c r="B51" i="2"/>
  <c r="C51" i="2" s="1"/>
  <c r="C49" i="3"/>
  <c r="B52" i="2" s="1"/>
  <c r="D52" i="2" s="1"/>
  <c r="B53" i="2"/>
  <c r="F53" i="2" s="1"/>
  <c r="B54" i="2"/>
  <c r="F54" i="2" s="1"/>
  <c r="J54" i="2" s="1"/>
  <c r="K54" i="2" s="1"/>
  <c r="C6" i="7"/>
  <c r="B8" i="2" s="1"/>
  <c r="G8" i="2" s="1"/>
  <c r="B38" i="7"/>
  <c r="B40" i="2" s="1"/>
  <c r="C57" i="3"/>
  <c r="B59" i="2" s="1"/>
  <c r="G59" i="2" s="1"/>
  <c r="B62" i="2"/>
  <c r="G62" i="2" s="1"/>
  <c r="J62" i="2" s="1"/>
  <c r="K62" i="2" s="1"/>
  <c r="C30" i="7"/>
  <c r="B32" i="2" s="1"/>
  <c r="B37" i="7"/>
  <c r="B39" i="2" s="1"/>
  <c r="H39" i="2" s="1"/>
  <c r="J39" i="2" s="1"/>
  <c r="K39" i="2" s="1"/>
  <c r="C41" i="7"/>
  <c r="B42" i="2" s="1"/>
  <c r="I42" i="2" s="1"/>
  <c r="J42" i="2" s="1"/>
  <c r="J56" i="2"/>
  <c r="J65" i="2"/>
  <c r="J31" i="2"/>
  <c r="K31" i="2" s="1"/>
  <c r="J43" i="2"/>
  <c r="C42" i="7"/>
  <c r="B43" i="2" s="1"/>
  <c r="B11" i="2"/>
  <c r="B21" i="2"/>
  <c r="B56" i="2"/>
  <c r="K58" i="2"/>
  <c r="K65" i="2"/>
  <c r="K67" i="2"/>
  <c r="D39" i="7"/>
  <c r="D29" i="7"/>
  <c r="C18" i="3"/>
  <c r="L49" i="2"/>
  <c r="C59" i="3" l="1"/>
  <c r="B61" i="2" s="1"/>
  <c r="I61" i="2" s="1"/>
  <c r="J61" i="2" s="1"/>
  <c r="K61" i="2" s="1"/>
  <c r="C34" i="3"/>
  <c r="C33" i="7" s="1"/>
  <c r="B35" i="2" s="1"/>
  <c r="F35" i="2" s="1"/>
  <c r="C54" i="3"/>
  <c r="C30" i="3"/>
  <c r="B11" i="7" s="1"/>
  <c r="C7" i="7"/>
  <c r="B9" i="2" s="1"/>
  <c r="G9" i="2" s="1"/>
  <c r="G63" i="2" s="1"/>
  <c r="D51" i="2"/>
  <c r="B57" i="2"/>
  <c r="K43" i="2"/>
  <c r="G52" i="2"/>
  <c r="E52" i="2"/>
  <c r="H52" i="2"/>
  <c r="B14" i="7"/>
  <c r="B16" i="2" s="1"/>
  <c r="E16" i="2" s="1"/>
  <c r="J16" i="2" s="1"/>
  <c r="B13" i="2"/>
  <c r="D13" i="2" s="1"/>
  <c r="J13" i="2" s="1"/>
  <c r="K13" i="2" s="1"/>
  <c r="B12" i="7"/>
  <c r="B14" i="2" s="1"/>
  <c r="E14" i="2" s="1"/>
  <c r="F14" i="2" s="1"/>
  <c r="B22" i="7"/>
  <c r="B24" i="2" s="1"/>
  <c r="E24" i="2" s="1"/>
  <c r="J24" i="2" s="1"/>
  <c r="K24" i="2" s="1"/>
  <c r="B25" i="7"/>
  <c r="B27" i="2" s="1"/>
  <c r="H27" i="2" s="1"/>
  <c r="J27" i="2" s="1"/>
  <c r="K27" i="2" s="1"/>
  <c r="C75" i="3"/>
  <c r="C58" i="3"/>
  <c r="C8" i="7"/>
  <c r="B10" i="2" s="1"/>
  <c r="G10" i="2" s="1"/>
  <c r="C33" i="3"/>
  <c r="C32" i="7" s="1"/>
  <c r="B34" i="2" s="1"/>
  <c r="E34" i="2" s="1"/>
  <c r="I59" i="2"/>
  <c r="H59" i="2"/>
  <c r="F52" i="2"/>
  <c r="C52" i="2"/>
  <c r="C77" i="2" s="1"/>
  <c r="C33" i="2"/>
  <c r="D33" i="2"/>
  <c r="E33" i="2"/>
  <c r="F33" i="2"/>
  <c r="F38" i="2"/>
  <c r="G38" i="2"/>
  <c r="E51" i="2"/>
  <c r="C39" i="7"/>
  <c r="H32" i="2"/>
  <c r="J32" i="2" s="1"/>
  <c r="K32" i="2" s="1"/>
  <c r="G40" i="2"/>
  <c r="H40" i="2" s="1"/>
  <c r="J53" i="2"/>
  <c r="K53" i="2" s="1"/>
  <c r="I44" i="2"/>
  <c r="J44" i="2" s="1"/>
  <c r="K44" i="2" s="1"/>
  <c r="K42" i="2"/>
  <c r="H8" i="2"/>
  <c r="J8" i="2" s="1"/>
  <c r="K8" i="2" s="1"/>
  <c r="G35" i="2"/>
  <c r="E50" i="2"/>
  <c r="D50" i="2"/>
  <c r="K56" i="2"/>
  <c r="G41" i="2"/>
  <c r="B27" i="7" l="1"/>
  <c r="B29" i="2" s="1"/>
  <c r="D29" i="2" s="1"/>
  <c r="J29" i="2" s="1"/>
  <c r="K29" i="2" s="1"/>
  <c r="B10" i="7"/>
  <c r="B12" i="2" s="1"/>
  <c r="D12" i="2" s="1"/>
  <c r="B18" i="7"/>
  <c r="B20" i="2" s="1"/>
  <c r="H20" i="2" s="1"/>
  <c r="J20" i="2" s="1"/>
  <c r="K20" i="2" s="1"/>
  <c r="B20" i="7"/>
  <c r="B22" i="2" s="1"/>
  <c r="C22" i="2" s="1"/>
  <c r="J22" i="2" s="1"/>
  <c r="K22" i="2" s="1"/>
  <c r="B23" i="7"/>
  <c r="B25" i="2" s="1"/>
  <c r="F25" i="2" s="1"/>
  <c r="J25" i="2" s="1"/>
  <c r="K25" i="2" s="1"/>
  <c r="B28" i="7"/>
  <c r="B30" i="2" s="1"/>
  <c r="H30" i="2" s="1"/>
  <c r="J30" i="2" s="1"/>
  <c r="K30" i="2" s="1"/>
  <c r="B16" i="7"/>
  <c r="B18" i="2" s="1"/>
  <c r="G18" i="2" s="1"/>
  <c r="J18" i="2" s="1"/>
  <c r="K18" i="2" s="1"/>
  <c r="B24" i="7"/>
  <c r="B26" i="2" s="1"/>
  <c r="G26" i="2" s="1"/>
  <c r="J26" i="2" s="1"/>
  <c r="K26" i="2" s="1"/>
  <c r="B26" i="7"/>
  <c r="B28" i="2" s="1"/>
  <c r="G28" i="2" s="1"/>
  <c r="J28" i="2" s="1"/>
  <c r="K28" i="2" s="1"/>
  <c r="B13" i="7"/>
  <c r="B15" i="2" s="1"/>
  <c r="F15" i="2" s="1"/>
  <c r="J15" i="2" s="1"/>
  <c r="K15" i="2" s="1"/>
  <c r="B21" i="7"/>
  <c r="B23" i="2" s="1"/>
  <c r="E23" i="2" s="1"/>
  <c r="J23" i="2" s="1"/>
  <c r="K23" i="2" s="1"/>
  <c r="B17" i="7"/>
  <c r="B19" i="2" s="1"/>
  <c r="G19" i="2" s="1"/>
  <c r="J19" i="2" s="1"/>
  <c r="K19" i="2" s="1"/>
  <c r="B15" i="7"/>
  <c r="D77" i="2"/>
  <c r="H63" i="2"/>
  <c r="J63" i="2" s="1"/>
  <c r="K63" i="2" s="1"/>
  <c r="J51" i="2"/>
  <c r="K51" i="2" s="1"/>
  <c r="H38" i="2"/>
  <c r="J38" i="2" s="1"/>
  <c r="K38" i="2" s="1"/>
  <c r="G34" i="2"/>
  <c r="D46" i="2"/>
  <c r="I52" i="2"/>
  <c r="H10" i="2"/>
  <c r="I10" i="2" s="1"/>
  <c r="J10" i="2" s="1"/>
  <c r="K10" i="2" s="1"/>
  <c r="C12" i="2"/>
  <c r="E12" i="2"/>
  <c r="E46" i="2" s="1"/>
  <c r="F12" i="2"/>
  <c r="G33" i="2"/>
  <c r="J33" i="2" s="1"/>
  <c r="K33" i="2" s="1"/>
  <c r="F34" i="2"/>
  <c r="C68" i="2"/>
  <c r="C34" i="2"/>
  <c r="J59" i="2"/>
  <c r="K59" i="2" s="1"/>
  <c r="K16" i="2"/>
  <c r="C62" i="3"/>
  <c r="B60" i="2"/>
  <c r="C41" i="3"/>
  <c r="C42" i="3" s="1"/>
  <c r="C44" i="7" s="1"/>
  <c r="B45" i="2" s="1"/>
  <c r="H35" i="2"/>
  <c r="J35" i="2" s="1"/>
  <c r="K35" i="2" s="1"/>
  <c r="E68" i="2"/>
  <c r="E73" i="2" s="1"/>
  <c r="D68" i="2"/>
  <c r="D73" i="2" s="1"/>
  <c r="H9" i="2"/>
  <c r="J9" i="2" s="1"/>
  <c r="K9" i="2" s="1"/>
  <c r="J50" i="2"/>
  <c r="K50" i="2" s="1"/>
  <c r="J40" i="2"/>
  <c r="H41" i="2"/>
  <c r="J41" i="2" s="1"/>
  <c r="K41" i="2" s="1"/>
  <c r="J14" i="2"/>
  <c r="K14" i="2" s="1"/>
  <c r="B17" i="2" l="1"/>
  <c r="C29" i="7"/>
  <c r="C46" i="7" s="1"/>
  <c r="C44" i="3"/>
  <c r="D62" i="3" s="1"/>
  <c r="E77" i="2"/>
  <c r="E72" i="2"/>
  <c r="D72" i="2"/>
  <c r="D78" i="2"/>
  <c r="E78" i="2" s="1"/>
  <c r="J52" i="2"/>
  <c r="K52" i="2" s="1"/>
  <c r="C73" i="2"/>
  <c r="C46" i="2"/>
  <c r="C78" i="2" s="1"/>
  <c r="C79" i="2" s="1"/>
  <c r="G12" i="2"/>
  <c r="H34" i="2"/>
  <c r="J34" i="2" s="1"/>
  <c r="K34" i="2" s="1"/>
  <c r="C73" i="3"/>
  <c r="D74" i="3"/>
  <c r="D73" i="3"/>
  <c r="C74" i="3"/>
  <c r="I60" i="2"/>
  <c r="B64" i="2"/>
  <c r="L36" i="2"/>
  <c r="K40" i="2"/>
  <c r="H45" i="2"/>
  <c r="I45" i="2" s="1"/>
  <c r="I46" i="2" s="1"/>
  <c r="I72" i="2" s="1"/>
  <c r="B46" i="2"/>
  <c r="D44" i="3"/>
  <c r="C64" i="3" l="1"/>
  <c r="B66" i="2" s="1"/>
  <c r="G66" i="2" s="1"/>
  <c r="H66" i="2" s="1"/>
  <c r="D54" i="3"/>
  <c r="D65" i="3" s="1"/>
  <c r="G17" i="2"/>
  <c r="G46" i="2" s="1"/>
  <c r="G72" i="2" s="1"/>
  <c r="F17" i="2"/>
  <c r="F77" i="2"/>
  <c r="E79" i="2"/>
  <c r="D79" i="2"/>
  <c r="C72" i="2"/>
  <c r="J12" i="2"/>
  <c r="D76" i="3"/>
  <c r="J60" i="2"/>
  <c r="K60" i="2" s="1"/>
  <c r="C76" i="3"/>
  <c r="D64" i="3"/>
  <c r="C65" i="3"/>
  <c r="J45" i="2"/>
  <c r="K45" i="2" s="1"/>
  <c r="H46" i="2"/>
  <c r="H72" i="2" s="1"/>
  <c r="B47" i="2"/>
  <c r="J17" i="2" l="1"/>
  <c r="K17" i="2" s="1"/>
  <c r="F46" i="2"/>
  <c r="C74" i="2"/>
  <c r="D71" i="2" s="1"/>
  <c r="D74" i="2" s="1"/>
  <c r="E71" i="2" s="1"/>
  <c r="E74" i="2" s="1"/>
  <c r="F71" i="2" s="1"/>
  <c r="K12" i="2"/>
  <c r="J46" i="2"/>
  <c r="K46" i="2" s="1"/>
  <c r="B68" i="2"/>
  <c r="F72" i="2" l="1"/>
  <c r="J72" i="2" s="1"/>
  <c r="F78" i="2"/>
  <c r="F79" i="2" s="1"/>
  <c r="L11" i="2"/>
  <c r="B69" i="2"/>
  <c r="F68" i="2" l="1"/>
  <c r="G68" i="2" l="1"/>
  <c r="G73" i="2" s="1"/>
  <c r="F73" i="2"/>
  <c r="F74" i="2" s="1"/>
  <c r="G71" i="2" s="1"/>
  <c r="G74" i="2" l="1"/>
  <c r="H71" i="2" s="1"/>
  <c r="H68" i="2" l="1"/>
  <c r="H73" i="2" s="1"/>
  <c r="H74" i="2" s="1"/>
  <c r="I71" i="2" s="1"/>
  <c r="I68" i="2" l="1"/>
  <c r="I73" i="2" s="1"/>
  <c r="J66" i="2"/>
  <c r="J68" i="2" l="1"/>
  <c r="K68" i="2" s="1"/>
  <c r="K66" i="2"/>
  <c r="J73" i="2"/>
  <c r="I7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Gessner</author>
  </authors>
  <commentList>
    <comment ref="C64" authorId="0" shapeId="0" xr:uid="{00000000-0006-0000-0000-000001000000}">
      <text>
        <r>
          <rPr>
            <b/>
            <sz val="9"/>
            <color indexed="81"/>
            <rFont val="Arial"/>
            <family val="2"/>
          </rPr>
          <t>Bill Gessner:</t>
        </r>
        <r>
          <rPr>
            <sz val="9"/>
            <color indexed="81"/>
            <rFont val="Arial"/>
            <family val="2"/>
          </rPr>
          <t xml:space="preserve">
This is a plug number to balance the Sources &amp; Uses.</t>
        </r>
      </text>
    </comment>
  </commentList>
</comments>
</file>

<file path=xl/sharedStrings.xml><?xml version="1.0" encoding="utf-8"?>
<sst xmlns="http://schemas.openxmlformats.org/spreadsheetml/2006/main" count="289" uniqueCount="219">
  <si>
    <t>retail square feet</t>
  </si>
  <si>
    <t>total square feet</t>
  </si>
  <si>
    <t>Acquisition</t>
  </si>
  <si>
    <t>Equipment</t>
  </si>
  <si>
    <t>Fees</t>
  </si>
  <si>
    <t>Start-up Promotion</t>
  </si>
  <si>
    <t>Projected Sales</t>
  </si>
  <si>
    <t>Start-up Staffing</t>
  </si>
  <si>
    <t>Holding/Site Costs</t>
  </si>
  <si>
    <t>Interest during project</t>
  </si>
  <si>
    <t>Working Capital, allowance</t>
  </si>
  <si>
    <t xml:space="preserve">     subtotal Uses</t>
  </si>
  <si>
    <t>Overrun Allowance</t>
  </si>
  <si>
    <t xml:space="preserve">  Real Estate Taxes</t>
  </si>
  <si>
    <t>Off Street Parking</t>
  </si>
  <si>
    <t>Member Loans</t>
  </si>
  <si>
    <t xml:space="preserve">     subtotal Owner's Contribution</t>
  </si>
  <si>
    <t>Landlord Contribution</t>
  </si>
  <si>
    <t>Free Fill</t>
  </si>
  <si>
    <t>City/Community</t>
  </si>
  <si>
    <t xml:space="preserve">    subtotal External/Subordinated</t>
  </si>
  <si>
    <t>Bank Debt</t>
  </si>
  <si>
    <t>Notes:</t>
  </si>
  <si>
    <t>Lease Rate/sq ft, triple net</t>
  </si>
  <si>
    <t>Start-Up Natural Food Co-op:</t>
  </si>
  <si>
    <t>n/a</t>
  </si>
  <si>
    <t>Inventory</t>
  </si>
  <si>
    <t xml:space="preserve">  Common Area Maintenance (CAM)</t>
  </si>
  <si>
    <t>lease deposit, if required, plus option/rent/taxes/ins/CAM/utilities before opening</t>
  </si>
  <si>
    <t>Cash from benefits, donations</t>
  </si>
  <si>
    <t>Grants</t>
  </si>
  <si>
    <t>Member Equity</t>
  </si>
  <si>
    <t xml:space="preserve">Miscellaneous </t>
  </si>
  <si>
    <t xml:space="preserve"> </t>
  </si>
  <si>
    <t>Leasehold Improvements</t>
  </si>
  <si>
    <t>Assumes overrun allowance is 50% leasehold improvements and 50% equipment.</t>
  </si>
  <si>
    <t>typical range = $35 - 45/retail sqft</t>
  </si>
  <si>
    <t>Post Opening Professional Support</t>
  </si>
  <si>
    <t>Key Assumptions:</t>
  </si>
  <si>
    <t>set aside for consulting support to develop operating systems and provide support in Year 1</t>
  </si>
  <si>
    <t>Stage 1</t>
  </si>
  <si>
    <t>Stage 2A</t>
  </si>
  <si>
    <t>Stage 2B</t>
  </si>
  <si>
    <t>Stage 3 A</t>
  </si>
  <si>
    <t>Stage 3B</t>
  </si>
  <si>
    <t>Stage 3C</t>
  </si>
  <si>
    <t>Organizing</t>
  </si>
  <si>
    <t>Feasibility</t>
  </si>
  <si>
    <t>Planning</t>
  </si>
  <si>
    <t>Preconstruction</t>
  </si>
  <si>
    <t>Stage 3D</t>
  </si>
  <si>
    <t>Sustaining</t>
  </si>
  <si>
    <t>Implementation</t>
  </si>
  <si>
    <t>Feasibility/</t>
  </si>
  <si>
    <t>Total</t>
  </si>
  <si>
    <t>Uses:</t>
  </si>
  <si>
    <t>Fees:</t>
  </si>
  <si>
    <t xml:space="preserve">  Market Analysis</t>
  </si>
  <si>
    <t xml:space="preserve">  Consulting (General, Process)</t>
  </si>
  <si>
    <t xml:space="preserve">  Financial Pro Forma</t>
  </si>
  <si>
    <t xml:space="preserve">  Preliminary Design</t>
  </si>
  <si>
    <t xml:space="preserve">  Training (Governance)</t>
  </si>
  <si>
    <t xml:space="preserve">  Training (Management/Staff)</t>
  </si>
  <si>
    <t xml:space="preserve">  Legal Fees</t>
  </si>
  <si>
    <t xml:space="preserve">     Incorporation</t>
  </si>
  <si>
    <t xml:space="preserve">     Lease</t>
  </si>
  <si>
    <t xml:space="preserve">  Financing</t>
  </si>
  <si>
    <t xml:space="preserve">  Environmental</t>
  </si>
  <si>
    <t xml:space="preserve">  Miscellaneous </t>
  </si>
  <si>
    <t>Start-Up Promotion</t>
  </si>
  <si>
    <t>Start-Up Staffing</t>
  </si>
  <si>
    <t xml:space="preserve">   Lease Deposit</t>
  </si>
  <si>
    <t xml:space="preserve">   Taxes, Insurance, Maintenance</t>
  </si>
  <si>
    <t xml:space="preserve">   Utilities</t>
  </si>
  <si>
    <t>Interest During Project</t>
  </si>
  <si>
    <t>Post-Opening Professional Support</t>
  </si>
  <si>
    <t>Working Capital Allowance</t>
  </si>
  <si>
    <t>Overrun Alloanance</t>
  </si>
  <si>
    <t xml:space="preserve">         Total Uses</t>
  </si>
  <si>
    <t>Sources:</t>
  </si>
  <si>
    <t>Net Proceeds, unless expenses are shown in Uses (line 33 or 34)</t>
  </si>
  <si>
    <t>Miscellaneous</t>
  </si>
  <si>
    <t xml:space="preserve">    subtotal Owner's Contribution</t>
  </si>
  <si>
    <t xml:space="preserve">         Total Sources</t>
  </si>
  <si>
    <t xml:space="preserve">Ending Cash </t>
  </si>
  <si>
    <t>Beginning Cash</t>
  </si>
  <si>
    <t xml:space="preserve">  Design (Arch, Eng, Store Design)</t>
  </si>
  <si>
    <t>6-12+ months</t>
  </si>
  <si>
    <t>3-6 months</t>
  </si>
  <si>
    <t>1 month</t>
  </si>
  <si>
    <t>19-37+months</t>
  </si>
  <si>
    <t>(forever)</t>
  </si>
  <si>
    <t>Opening Order Terms negotiated, such as 60-90-120 days may allow for greater delayed payment</t>
  </si>
  <si>
    <t xml:space="preserve">  Hiring Expense</t>
  </si>
  <si>
    <t xml:space="preserve">  Accounting</t>
  </si>
  <si>
    <t xml:space="preserve">   Option/Rent</t>
  </si>
  <si>
    <t>Lease Deposit may not be required given the improvements the co-op is doing</t>
  </si>
  <si>
    <t>includes travel to CCMA and other co-ops</t>
  </si>
  <si>
    <t xml:space="preserve">  Reduction of Fees to meet budget</t>
  </si>
  <si>
    <t>If reduction can't be achieved, this amount is drawn from Overrun Allowance</t>
  </si>
  <si>
    <t>This category may need to be increased to adequately promote membership and sales</t>
  </si>
  <si>
    <t xml:space="preserve">     Architect/Contractor contracts</t>
  </si>
  <si>
    <t>Cash Flow, Quality of Management, Quality of Location/Market will be primary determinants of bankability beyond collateral.</t>
  </si>
  <si>
    <t>Drafted by Bill Gessner, CDS Consulting Cooperative</t>
  </si>
  <si>
    <t>Note:  What might be the collateral value for a bank loan in this scenario?</t>
  </si>
  <si>
    <t>Initially calculated at 15% of subtotal.  Lowered to no lower than 10% as estimated costs become firm..</t>
  </si>
  <si>
    <t>Note:  Collateral value for equipment can vary, as the economy fluctuates.  The range could be viewed as 30 - 70%, or 0 - 70%</t>
  </si>
  <si>
    <t>Drafted by Bill Gessner, CDS Consulting Co-op, 612-823-4509, BillGessner@cdsconsulting.coop</t>
  </si>
  <si>
    <t xml:space="preserve">          original draft = Feb 2008</t>
  </si>
  <si>
    <t>Date:</t>
  </si>
  <si>
    <t>Quick Start Sources &amp; Uses Budget:</t>
  </si>
  <si>
    <t>$500/retail sq. ft is an initial projection prior to a market analysis, to be adjusted following a professional market/site/location analysis</t>
  </si>
  <si>
    <t>Leased site at triple net. Rates vary greatly. Research those in your community</t>
  </si>
  <si>
    <t>Membership share cost</t>
  </si>
  <si>
    <t>Project Management</t>
  </si>
  <si>
    <t>Overhead/Admin prior to Opening</t>
  </si>
  <si>
    <t xml:space="preserve">Basic expenses incurred in years prior to opening </t>
  </si>
  <si>
    <t>initially estimated at $1,000,000 of debt at blended interest of 7% for 6 months at 50% avg. draw</t>
  </si>
  <si>
    <t xml:space="preserve">/sq ft. </t>
  </si>
  <si>
    <t>Preferred Shares</t>
  </si>
  <si>
    <t>Other types of equity investors. Does not include donations of time or in-kind contributions.</t>
  </si>
  <si>
    <t>Owner's Contribution should be  50% of the total Sources (or higher)</t>
  </si>
  <si>
    <t>% of initial inventory provided by manufacturers, accessed by working with distributor</t>
  </si>
  <si>
    <t>low interest, long term loan accessed through local sources (city, neighborhoods, foundations) (3%, 10-15yrs)  (not easy to find, not always available, if available, possibly lots of red tape and hoops to jump thru)</t>
  </si>
  <si>
    <t>Co-op Loan Funds</t>
  </si>
  <si>
    <t>Owner's Contribution plus External/Subordinated should be 75% or higher</t>
  </si>
  <si>
    <t xml:space="preserve">  Building Insurance</t>
  </si>
  <si>
    <t>Stage 2B = 600 members, Stage 3A = 800 members</t>
  </si>
  <si>
    <t>Opening or within 2 months after Opening = 1000 members</t>
  </si>
  <si>
    <t>End of:  Stage 1 = 300 members, Stage 2A = 450 members</t>
  </si>
  <si>
    <t xml:space="preserve">  Capital Campaign, plan/implement</t>
  </si>
  <si>
    <t xml:space="preserve"> = Fee Subtotal</t>
  </si>
  <si>
    <t xml:space="preserve">     Member Loans, Preferred Shares</t>
  </si>
  <si>
    <t xml:space="preserve">  = Holding/Site Cost subtotal</t>
  </si>
  <si>
    <t xml:space="preserve"> = Uses Test</t>
  </si>
  <si>
    <t>Equity Fund</t>
  </si>
  <si>
    <t>Assuming # members by opening:</t>
  </si>
  <si>
    <t xml:space="preserve">          If the co-op owns the real estate, collateral would be much higher and calculated differently</t>
  </si>
  <si>
    <t xml:space="preserve"> = Source &amp; Uses balance tests</t>
  </si>
  <si>
    <t>retail is typically 62 - 68% of total space</t>
  </si>
  <si>
    <t>Initial estimate to provide adequate cash flow to cover initial operating losses.  Range is 6 - 10% of Yr 1 sales</t>
  </si>
  <si>
    <t xml:space="preserve">  Store Operations/Specialty Depts</t>
  </si>
  <si>
    <t>Bank Debt (Senior Debt)(First Position) should be 25% of total or less.   ~6-7% for 7 yrs.  Bank financing can be difficult to obtain.</t>
  </si>
  <si>
    <t>`</t>
  </si>
  <si>
    <t xml:space="preserve">This area can vary significantly, dependent in part on skills of GM.  Includes consulting for set-up of perishable departments Deli, Meat &amp; Seafood, Produce, as well as Grocery Merchandising, Front End, POS and Safety/Security systems.   Estimate $10,000 to $50,000.   </t>
  </si>
  <si>
    <t xml:space="preserve"> This could not happen till sometime after store opening</t>
  </si>
  <si>
    <t xml:space="preserve">               612-799-6238, BillGessner@cdsconsulting.coop </t>
  </si>
  <si>
    <t>The amounts provided below are very rough estimates. The user MUST confirm the amounts provided. Any use of this workbook is at the user's risk.</t>
  </si>
  <si>
    <t>"Triple net" or "NNN" is the combination of Real Estate Taxes, Building Insurance and Common Area Maintenance. The expense is detailed in the lease and can vary greatly.</t>
  </si>
  <si>
    <t>You should have 6 parking spaces per 1000 sq ft of retail space for customers, local minimum requirements vary.  Employees park elsewhere. An alternate ratio is 4-11 spaces/1000 sq ft of total space</t>
  </si>
  <si>
    <r>
      <t xml:space="preserve">This scenario assumes a </t>
    </r>
    <r>
      <rPr>
        <b/>
        <sz val="10"/>
        <rFont val="Calibri"/>
        <family val="2"/>
      </rPr>
      <t>lease</t>
    </r>
    <r>
      <rPr>
        <sz val="10"/>
        <rFont val="Calibri"/>
        <family val="2"/>
      </rPr>
      <t>, not a purchase</t>
    </r>
  </si>
  <si>
    <r>
      <t>Uses</t>
    </r>
    <r>
      <rPr>
        <sz val="10"/>
        <rFont val="Calibri"/>
        <family val="2"/>
      </rPr>
      <t>:</t>
    </r>
  </si>
  <si>
    <r>
      <t xml:space="preserve">The initial scenario provided assumes a </t>
    </r>
    <r>
      <rPr>
        <b/>
        <sz val="10"/>
        <rFont val="Calibri"/>
        <family val="2"/>
      </rPr>
      <t>lease</t>
    </r>
    <r>
      <rPr>
        <sz val="10"/>
        <rFont val="Calibri"/>
        <family val="2"/>
      </rPr>
      <t>, not a purchase</t>
    </r>
  </si>
  <si>
    <r>
      <t xml:space="preserve">     </t>
    </r>
    <r>
      <rPr>
        <b/>
        <sz val="10"/>
        <rFont val="Calibri"/>
        <family val="2"/>
      </rPr>
      <t>Total Uses</t>
    </r>
  </si>
  <si>
    <r>
      <t>Sources</t>
    </r>
    <r>
      <rPr>
        <sz val="10"/>
        <rFont val="Calibri"/>
        <family val="2"/>
      </rPr>
      <t>:</t>
    </r>
  </si>
  <si>
    <r>
      <t xml:space="preserve">        </t>
    </r>
    <r>
      <rPr>
        <b/>
        <sz val="10"/>
        <rFont val="Calibri"/>
        <family val="2"/>
      </rPr>
      <t>Total Sources</t>
    </r>
  </si>
  <si>
    <t>All costs are rough estimates, based on knowledge of prior projects and market rates.  Costs will increase over time.</t>
  </si>
  <si>
    <t>Possible Value of Collateral:</t>
  </si>
  <si>
    <t>Varies greatly.</t>
  </si>
  <si>
    <t>Allows for promotion before opening day.  Equivalent to 3 months of Year 1 advertising budget added on. (2.5% of Year 1 sales divided by 4)</t>
  </si>
  <si>
    <r>
      <t xml:space="preserve">Initially estimated as 1/12 of Year 1 labor (25% of sales) + salary/benefits/taxes for G.M. for 1 yr before Opening ($70K plus 20%) </t>
    </r>
    <r>
      <rPr>
        <b/>
        <sz val="10"/>
        <rFont val="Calibri"/>
        <family val="2"/>
      </rPr>
      <t>GM salaries vary greatly.</t>
    </r>
  </si>
  <si>
    <t>Member share requirement might range from $200 - $300/member. Try changing this to see what effect it has on your bank debt and other "Sources" below.</t>
  </si>
  <si>
    <t>Landlord Contribution per square foot</t>
  </si>
  <si>
    <t>includes consultants, architect/engineer, store design, legal, financing, environmental, misc. Fees are initially estimated at 15% of the total for Leasehold Improvements, Equipment and Inventory.</t>
  </si>
  <si>
    <t>Total Fees</t>
  </si>
  <si>
    <t>Total Holding Costs</t>
  </si>
  <si>
    <t>NCG Membership Deposit</t>
  </si>
  <si>
    <t>Uses of</t>
  </si>
  <si>
    <t>Cash</t>
  </si>
  <si>
    <t>Check</t>
  </si>
  <si>
    <t>a % of inventory covered by extended terms with vendors (not just opening order terms). Terms need to be established with vendors over time.  There is no guarantee of initial terms.  Initial terms might be COD.</t>
  </si>
  <si>
    <t>Modified by Don Moffitt, CDS Consulting Cooperative</t>
  </si>
  <si>
    <t xml:space="preserve">               919-812-3474, DonMoffitt@cdsconsulting.coop</t>
  </si>
  <si>
    <t>Sources &amp; Uses Cash Flow by Stage</t>
  </si>
  <si>
    <t xml:space="preserve">Everything on this worksheet is automatically calculated. </t>
  </si>
  <si>
    <t>In Sources &amp; Uses there is a single line for Fees. This section splits them out in more detail. These percentages are ROUGH estimates!</t>
  </si>
  <si>
    <t>In Sources &amp; Uses there is a single line for Holding Costs. This section splits them out in more detail. These percentages are ROUGH estimates!</t>
  </si>
  <si>
    <t>These numbers carry forward to the worksheet "S&amp;U Cash Flow by Stage"</t>
  </si>
  <si>
    <t>This number is calculated from inputs in cells C21 and C22 above.  Member equity needs to be fully raised within 2-3 months of opening.  4000 sq ft of retail has potential for 2500 - 3000 members by Year 5.</t>
  </si>
  <si>
    <t>This page automatically calculates from entries on "Sources &amp; Uses Overall" and "Uses Detail". Enter actual cash uses as you incur them in each stage.</t>
  </si>
  <si>
    <t>Updated by Don Moffitt, CDS Consulting Co-op, 919-812-3474, DonMoffitt@cdsconsulting.coop</t>
  </si>
  <si>
    <t>General Manager salary (C34 includes this plus 20% benefits)</t>
  </si>
  <si>
    <t>Co-ops opening at a scale to join NCG should plan their deposit as part of pre-opening expenses.  However most will join after opening.</t>
  </si>
  <si>
    <t>NCG Membership deposit</t>
  </si>
  <si>
    <t>Minimum</t>
  </si>
  <si>
    <t>Maximum</t>
  </si>
  <si>
    <t>LTV 0% to 70%</t>
  </si>
  <si>
    <t>Equipment (incl half of Overrun, C42)</t>
  </si>
  <si>
    <t>Leasehold Imp (incl half of Overrun)</t>
  </si>
  <si>
    <t>LTV and collateralization will be determined by your lender.</t>
  </si>
  <si>
    <r>
      <t xml:space="preserve">Total </t>
    </r>
    <r>
      <rPr>
        <i/>
        <sz val="10"/>
        <rFont val="Calibri"/>
        <family val="2"/>
        <scheme val="minor"/>
      </rPr>
      <t>Possible</t>
    </r>
    <r>
      <rPr>
        <sz val="10"/>
        <rFont val="Calibri"/>
        <family val="2"/>
        <scheme val="minor"/>
      </rPr>
      <t xml:space="preserve"> Collateral</t>
    </r>
  </si>
  <si>
    <t>Most cells are generated by formulas. Change ONLY cells in yellow to see your results.</t>
  </si>
  <si>
    <t>Total Uses</t>
  </si>
  <si>
    <t>Total Sources</t>
  </si>
  <si>
    <t>Prep for Opening</t>
  </si>
  <si>
    <t>Constr/Renovation</t>
  </si>
  <si>
    <t>Last revised Jan 2018</t>
  </si>
  <si>
    <t>--Any proceeds of a member loan campaign or the sale of preferred shares in Stage 3A must be "sequestered" in a separate account so that they can be repaid if no co-op is developed.</t>
  </si>
  <si>
    <t>--Loans from co-op loan funds and banks are typically provided for equipment and construction. You should draw on these funds as you need them for those expenses, in Stages 3B and 3C.</t>
  </si>
  <si>
    <t>that must be repaid. The exception is if co-op members lend funds for start-up expenses, knowing that it is possible they will never be repaid.</t>
  </si>
  <si>
    <t>--Through Stage 3A your co-op should only use funds which are not obligated in some way. Do not use proceeds of a member loan campaign, or the sale of preferred shares or loan funds</t>
  </si>
  <si>
    <t>Updated:  Feb 1, 2018</t>
  </si>
  <si>
    <t>Accumulated Funds for Use Through Stage 3A</t>
  </si>
  <si>
    <t>Accumulated Expenses Through Stage 3A</t>
  </si>
  <si>
    <t>Accumulated Surplus (Deficit)</t>
  </si>
  <si>
    <t>This line should be positive in every stage.</t>
  </si>
  <si>
    <t>Vendor Credit</t>
  </si>
  <si>
    <t>Drafted and Updated by Bill Gessner, CDS Consulting Co-op</t>
  </si>
  <si>
    <t>Additional updates by Don Moffitt, Columinate, 919-812-3474, DonMoffitt@Columinate.coop</t>
  </si>
  <si>
    <t>Cost is affected by many factors: condition of building, landlord's work, materials used, local economy, etc.</t>
  </si>
  <si>
    <t>Costs are rising</t>
  </si>
  <si>
    <t>Sources must be identified</t>
  </si>
  <si>
    <t>Cash from events, donations</t>
  </si>
  <si>
    <t>100 members investing at an average of $5,000. Minimum = $1,000.  Seek appropriate legal &amp; consultant advice. Preferred Shares better than Member Loans</t>
  </si>
  <si>
    <t>125 loans at an average size of $4,000.  Min. size loan is $2,000.  Seek appropriate legal &amp; consultant advice. Length of loan term:  4, 5, 6, 7, 8, 9 and 10 years, possibly longer. Blended interest rate typically 3.5 - 4.0%</t>
  </si>
  <si>
    <t>Possible credit of up to 25% of leasehold improvements provided by the landlord (tenant improvement allowance). Could be $0.</t>
  </si>
  <si>
    <t>Co-op Loan funds. Hard to get for start-ups. CFNE, NCDF, LEAF are possilbe sources.    ~7% for 5-10 yrs. Ability to qualify for such loans depends on the quality of the project.</t>
  </si>
  <si>
    <t>Banks use a "Loan to Value" ratio (LTV) for collateral or may loan on cash flow</t>
  </si>
  <si>
    <t>Low grade, LTV 0% to 25% (0% not unlikely)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</si>
</sst>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_);_(&quot;$&quot;* \(#,##0\);_(&quot;$&quot;* &quot;0&quot;_);_(@_)"/>
    <numFmt numFmtId="168" formatCode="_(&quot;$&quot;* #,##0_);_(&quot;$&quot;* \(#,##0\);_(&quot;$&quot;* &quot;0&quot;??_);_(@_)"/>
    <numFmt numFmtId="169" formatCode="_(&quot;$&quot;* #,##0_);_(&quot;$&quot;* \(#,##0\);_(&quot;$&quot;* &quot;-&quot;?_);_(@_)"/>
    <numFmt numFmtId="170" formatCode="_(* #,##0_);_(* \(#,##0\);_(* &quot;0&quot;_);_(@_)"/>
  </numFmts>
  <fonts count="15" x14ac:knownFonts="1">
    <font>
      <sz val="10"/>
      <name val="Arial"/>
    </font>
    <font>
      <sz val="10"/>
      <name val="Arial"/>
      <family val="2"/>
    </font>
    <font>
      <sz val="8"/>
      <name val="Arial"/>
      <family val="2"/>
    </font>
    <font>
      <sz val="9"/>
      <color indexed="81"/>
      <name val="Arial"/>
      <family val="2"/>
    </font>
    <font>
      <b/>
      <sz val="9"/>
      <color indexed="81"/>
      <name val="Arial"/>
      <family val="2"/>
    </font>
    <font>
      <b/>
      <sz val="10"/>
      <name val="Calibri"/>
      <family val="2"/>
    </font>
    <font>
      <sz val="10"/>
      <name val="Calibri"/>
      <family val="2"/>
    </font>
    <font>
      <b/>
      <sz val="10"/>
      <name val="Calibri"/>
      <family val="2"/>
      <scheme val="minor"/>
    </font>
    <font>
      <b/>
      <u/>
      <sz val="10"/>
      <name val="Calibri"/>
      <family val="2"/>
      <scheme val="minor"/>
    </font>
    <font>
      <sz val="10"/>
      <name val="Calibri"/>
      <family val="2"/>
      <scheme val="minor"/>
    </font>
    <font>
      <sz val="9"/>
      <name val="Calibri"/>
      <family val="2"/>
      <scheme val="minor"/>
    </font>
    <font>
      <b/>
      <sz val="9"/>
      <name val="Calibri"/>
      <family val="2"/>
      <scheme val="minor"/>
    </font>
    <font>
      <u val="singleAccounting"/>
      <sz val="9"/>
      <name val="Calibri"/>
      <family val="2"/>
      <scheme val="minor"/>
    </font>
    <font>
      <u/>
      <sz val="10"/>
      <name val="Calibri"/>
      <family val="2"/>
      <scheme val="minor"/>
    </font>
    <font>
      <i/>
      <sz val="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s>
  <borders count="79">
    <border>
      <left/>
      <right/>
      <top/>
      <bottom/>
      <diagonal/>
    </border>
    <border>
      <left/>
      <right/>
      <top style="medium">
        <color indexed="64"/>
      </top>
      <bottom/>
      <diagonal/>
    </border>
    <border>
      <left style="thin">
        <color indexed="64"/>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bottom/>
      <diagonal/>
    </border>
    <border>
      <left/>
      <right style="mediumDashed">
        <color indexed="20"/>
      </right>
      <top/>
      <bottom/>
      <diagonal/>
    </border>
    <border>
      <left/>
      <right style="double">
        <color indexed="11"/>
      </right>
      <top/>
      <bottom/>
      <diagonal/>
    </border>
    <border>
      <left/>
      <right style="medium">
        <color indexed="40"/>
      </right>
      <top/>
      <bottom/>
      <diagonal/>
    </border>
    <border>
      <left/>
      <right style="thin">
        <color indexed="64"/>
      </right>
      <top/>
      <bottom/>
      <diagonal/>
    </border>
    <border>
      <left style="thin">
        <color indexed="64"/>
      </left>
      <right style="thin">
        <color indexed="64"/>
      </right>
      <top/>
      <bottom style="medium">
        <color indexed="64"/>
      </bottom>
      <diagonal/>
    </border>
    <border>
      <left/>
      <right style="mediumDashed">
        <color indexed="20"/>
      </right>
      <top/>
      <bottom style="medium">
        <color indexed="64"/>
      </bottom>
      <diagonal/>
    </border>
    <border>
      <left/>
      <right style="double">
        <color indexed="11"/>
      </right>
      <top/>
      <bottom style="medium">
        <color indexed="64"/>
      </bottom>
      <diagonal/>
    </border>
    <border>
      <left/>
      <right style="medium">
        <color indexed="40"/>
      </right>
      <top/>
      <bottom style="medium">
        <color indexed="64"/>
      </bottom>
      <diagonal/>
    </border>
    <border>
      <left/>
      <right style="thin">
        <color indexed="64"/>
      </right>
      <top/>
      <bottom style="medium">
        <color indexed="64"/>
      </bottom>
      <diagonal/>
    </border>
    <border>
      <left/>
      <right style="medium">
        <color indexed="40"/>
      </right>
      <top style="medium">
        <color indexed="64"/>
      </top>
      <bottom/>
      <diagonal/>
    </border>
    <border>
      <left style="double">
        <color indexed="11"/>
      </left>
      <right/>
      <top/>
      <bottom/>
      <diagonal/>
    </border>
    <border>
      <left style="mediumDashed">
        <color indexed="20"/>
      </left>
      <right style="double">
        <color indexed="11"/>
      </right>
      <top/>
      <bottom/>
      <diagonal/>
    </border>
    <border>
      <left/>
      <right style="mediumDashed">
        <color indexed="61"/>
      </right>
      <top/>
      <bottom/>
      <diagonal/>
    </border>
    <border>
      <left style="thin">
        <color indexed="64"/>
      </left>
      <right style="thin">
        <color indexed="64"/>
      </right>
      <top/>
      <bottom style="thin">
        <color indexed="64"/>
      </bottom>
      <diagonal/>
    </border>
    <border>
      <left/>
      <right style="mediumDashed">
        <color indexed="61"/>
      </right>
      <top/>
      <bottom style="thin">
        <color indexed="64"/>
      </bottom>
      <diagonal/>
    </border>
    <border>
      <left/>
      <right style="double">
        <color indexed="11"/>
      </right>
      <top/>
      <bottom style="thin">
        <color indexed="64"/>
      </bottom>
      <diagonal/>
    </border>
    <border>
      <left/>
      <right style="medium">
        <color indexed="40"/>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Dashed">
        <color indexed="20"/>
      </right>
      <top/>
      <bottom style="thin">
        <color indexed="64"/>
      </bottom>
      <diagonal/>
    </border>
    <border>
      <left/>
      <right/>
      <top style="thin">
        <color indexed="64"/>
      </top>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medium">
        <color theme="0" tint="-0.14996795556505021"/>
      </left>
      <right/>
      <top style="medium">
        <color theme="0" tint="-0.14996795556505021"/>
      </top>
      <bottom/>
      <diagonal/>
    </border>
    <border>
      <left/>
      <right/>
      <top style="medium">
        <color theme="0" tint="-0.14996795556505021"/>
      </top>
      <bottom/>
      <diagonal/>
    </border>
    <border>
      <left style="medium">
        <color theme="0" tint="-0.14993743705557422"/>
      </left>
      <right style="medium">
        <color theme="0" tint="-0.14993743705557422"/>
      </right>
      <top style="medium">
        <color theme="0" tint="-0.14996795556505021"/>
      </top>
      <bottom/>
      <diagonal/>
    </border>
    <border>
      <left style="medium">
        <color theme="0" tint="-0.14993743705557422"/>
      </left>
      <right style="medium">
        <color theme="0" tint="-0.14993743705557422"/>
      </right>
      <top/>
      <bottom/>
      <diagonal/>
    </border>
    <border>
      <left style="medium">
        <color theme="0" tint="-0.14993743705557422"/>
      </left>
      <right style="medium">
        <color theme="0" tint="-0.14993743705557422"/>
      </right>
      <top/>
      <bottom style="medium">
        <color theme="0" tint="-0.14993743705557422"/>
      </bottom>
      <diagonal/>
    </border>
    <border>
      <left/>
      <right style="medium">
        <color theme="0" tint="-0.14993743705557422"/>
      </right>
      <top style="medium">
        <color theme="0" tint="-0.14996795556505021"/>
      </top>
      <bottom/>
      <diagonal/>
    </border>
    <border>
      <left/>
      <right style="medium">
        <color theme="0" tint="-0.14993743705557422"/>
      </right>
      <top/>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style="medium">
        <color theme="0" tint="-0.14993743705557422"/>
      </right>
      <top/>
      <bottom style="medium">
        <color theme="0" tint="-0.14990691854609822"/>
      </bottom>
      <diagonal/>
    </border>
    <border>
      <left style="medium">
        <color theme="0" tint="-0.14996795556505021"/>
      </left>
      <right/>
      <top style="medium">
        <color indexed="64"/>
      </top>
      <bottom style="medium">
        <color theme="0" tint="-0.14996795556505021"/>
      </bottom>
      <diagonal/>
    </border>
    <border>
      <left/>
      <right/>
      <top style="medium">
        <color indexed="64"/>
      </top>
      <bottom style="medium">
        <color theme="0" tint="-0.14996795556505021"/>
      </bottom>
      <diagonal/>
    </border>
    <border>
      <left/>
      <right style="medium">
        <color theme="0" tint="-0.14996795556505021"/>
      </right>
      <top style="medium">
        <color indexed="64"/>
      </top>
      <bottom style="medium">
        <color theme="0" tint="-0.14996795556505021"/>
      </bottom>
      <diagonal/>
    </border>
    <border>
      <left/>
      <right style="medium">
        <color theme="0" tint="-0.14996795556505021"/>
      </right>
      <top style="medium">
        <color theme="0" tint="-0.14996795556505021"/>
      </top>
      <bottom/>
      <diagonal/>
    </border>
    <border>
      <left style="medium">
        <color theme="0" tint="-0.14996795556505021"/>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6795556505021"/>
      </left>
      <right/>
      <top style="medium">
        <color theme="0" tint="-0.14996795556505021"/>
      </top>
      <bottom style="medium">
        <color indexed="64"/>
      </bottom>
      <diagonal/>
    </border>
    <border>
      <left/>
      <right style="medium">
        <color theme="0" tint="-0.14996795556505021"/>
      </right>
      <top style="medium">
        <color theme="0" tint="-0.14996795556505021"/>
      </top>
      <bottom style="medium">
        <color indexed="64"/>
      </bottom>
      <diagonal/>
    </border>
    <border>
      <left style="medium">
        <color theme="0" tint="-0.14996795556505021"/>
      </left>
      <right style="medium">
        <color theme="0" tint="-0.14993743705557422"/>
      </right>
      <top style="medium">
        <color theme="0" tint="-0.14993743705557422"/>
      </top>
      <bottom style="medium">
        <color indexed="64"/>
      </bottom>
      <diagonal/>
    </border>
    <border>
      <left style="medium">
        <color theme="0" tint="-0.14996795556505021"/>
      </left>
      <right style="medium">
        <color theme="0" tint="-0.14993743705557422"/>
      </right>
      <top/>
      <bottom style="medium">
        <color theme="0" tint="-0.14993743705557422"/>
      </bottom>
      <diagonal/>
    </border>
    <border>
      <left style="medium">
        <color theme="0" tint="-0.14993743705557422"/>
      </left>
      <right/>
      <top/>
      <bottom style="medium">
        <color theme="0" tint="-0.14990691854609822"/>
      </bottom>
      <diagonal/>
    </border>
    <border>
      <left style="medium">
        <color theme="0" tint="-0.1498764000366222"/>
      </left>
      <right style="medium">
        <color theme="0" tint="-0.1498764000366222"/>
      </right>
      <top/>
      <bottom style="medium">
        <color theme="0" tint="-0.1498764000366222"/>
      </bottom>
      <diagonal/>
    </border>
    <border>
      <left style="medium">
        <color theme="0" tint="-0.14996795556505021"/>
      </left>
      <right style="medium">
        <color theme="0" tint="-0.14993743705557422"/>
      </right>
      <top/>
      <bottom/>
      <diagonal/>
    </border>
    <border>
      <left style="medium">
        <color theme="0" tint="-0.14993743705557422"/>
      </left>
      <right/>
      <top/>
      <bottom/>
      <diagonal/>
    </border>
    <border>
      <left style="medium">
        <color theme="0" tint="-0.1498764000366222"/>
      </left>
      <right style="medium">
        <color theme="0" tint="-0.1498764000366222"/>
      </right>
      <top/>
      <bottom/>
      <diagonal/>
    </border>
    <border>
      <left/>
      <right/>
      <top/>
      <bottom style="medium">
        <color theme="0" tint="-0.14996795556505021"/>
      </bottom>
      <diagonal/>
    </border>
    <border>
      <left style="medium">
        <color theme="0" tint="-0.14993743705557422"/>
      </left>
      <right style="medium">
        <color theme="0" tint="-0.14993743705557422"/>
      </right>
      <top style="medium">
        <color theme="0" tint="-0.14993743705557422"/>
      </top>
      <bottom/>
      <diagonal/>
    </border>
    <border>
      <left style="medium">
        <color theme="0" tint="-0.14990691854609822"/>
      </left>
      <right/>
      <top/>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right style="medium">
        <color theme="0" tint="-0.14996795556505021"/>
      </right>
      <top style="medium">
        <color indexed="64"/>
      </top>
      <bottom/>
      <diagonal/>
    </border>
    <border>
      <left/>
      <right style="medium">
        <color theme="0" tint="-0.14993743705557422"/>
      </right>
      <top style="medium">
        <color theme="0" tint="-0.14993743705557422"/>
      </top>
      <bottom style="medium">
        <color theme="0" tint="-0.14993743705557422"/>
      </bottom>
      <diagonal/>
    </border>
    <border>
      <left style="medium">
        <color theme="0" tint="-0.14990691854609822"/>
      </left>
      <right style="medium">
        <color theme="0" tint="-0.14990691854609822"/>
      </right>
      <top style="medium">
        <color theme="0" tint="-0.14990691854609822"/>
      </top>
      <bottom style="medium">
        <color theme="0" tint="-0.14990691854609822"/>
      </bottom>
      <diagonal/>
    </border>
    <border>
      <left style="thick">
        <color theme="0" tint="-4.9989318521683403E-2"/>
      </left>
      <right/>
      <top style="thick">
        <color theme="0" tint="-4.9989318521683403E-2"/>
      </top>
      <bottom style="medium">
        <color theme="0" tint="-0.14996795556505021"/>
      </bottom>
      <diagonal/>
    </border>
    <border>
      <left/>
      <right style="thick">
        <color theme="0" tint="-4.9989318521683403E-2"/>
      </right>
      <top style="thick">
        <color theme="0" tint="-4.9989318521683403E-2"/>
      </top>
      <bottom style="medium">
        <color theme="0" tint="-0.14996795556505021"/>
      </bottom>
      <diagonal/>
    </border>
    <border>
      <left/>
      <right/>
      <top style="medium">
        <color theme="0" tint="-0.14996795556505021"/>
      </top>
      <bottom style="medium">
        <color indexed="64"/>
      </bottom>
      <diagonal/>
    </border>
    <border>
      <left style="thick">
        <color theme="0" tint="-4.9989318521683403E-2"/>
      </left>
      <right style="thick">
        <color theme="0" tint="-4.9989318521683403E-2"/>
      </right>
      <top style="thick">
        <color theme="0" tint="-4.9989318521683403E-2"/>
      </top>
      <bottom/>
      <diagonal/>
    </border>
    <border>
      <left style="medium">
        <color theme="0" tint="-0.14993743705557422"/>
      </left>
      <right/>
      <top style="medium">
        <color theme="0" tint="-0.14993743705557422"/>
      </top>
      <bottom style="medium">
        <color indexed="64"/>
      </bottom>
      <diagonal/>
    </border>
    <border>
      <left/>
      <right/>
      <top style="medium">
        <color theme="0" tint="-0.14993743705557422"/>
      </top>
      <bottom style="medium">
        <color indexed="64"/>
      </bottom>
      <diagonal/>
    </border>
    <border>
      <left/>
      <right style="medium">
        <color theme="0" tint="-0.14993743705557422"/>
      </right>
      <top style="medium">
        <color theme="0" tint="-0.14993743705557422"/>
      </top>
      <bottom style="medium">
        <color indexed="64"/>
      </bottom>
      <diagonal/>
    </border>
    <border>
      <left/>
      <right/>
      <top style="medium">
        <color theme="0" tint="-0.14996795556505021"/>
      </top>
      <bottom style="thick">
        <color theme="0" tint="-4.9989318521683403E-2"/>
      </bottom>
      <diagonal/>
    </border>
    <border>
      <left/>
      <right/>
      <top style="medium">
        <color theme="0" tint="-0.14993743705557422"/>
      </top>
      <bottom style="medium">
        <color theme="0" tint="-0.14996795556505021"/>
      </bottom>
      <diagonal/>
    </border>
    <border>
      <left style="medium">
        <color theme="0" tint="-0.1498458815271462"/>
      </left>
      <right style="medium">
        <color theme="0" tint="-0.1498458815271462"/>
      </right>
      <top style="medium">
        <color theme="0" tint="-0.1498764000366222"/>
      </top>
      <bottom style="medium">
        <color indexed="64"/>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8" fillId="0" borderId="0" xfId="0" applyFont="1" applyAlignment="1" applyProtection="1">
      <alignment vertical="center" wrapText="1"/>
      <protection locked="0"/>
    </xf>
    <xf numFmtId="0" fontId="9" fillId="0" borderId="0" xfId="0" applyFont="1" applyBorder="1"/>
    <xf numFmtId="0" fontId="9" fillId="0" borderId="0" xfId="0" applyFont="1"/>
    <xf numFmtId="0" fontId="9" fillId="0" borderId="0" xfId="0" applyFont="1" applyAlignment="1" applyProtection="1">
      <alignment vertical="center"/>
      <protection locked="0"/>
    </xf>
    <xf numFmtId="0" fontId="9" fillId="0" borderId="0" xfId="0" applyFont="1" applyAlignment="1" applyProtection="1">
      <alignment vertical="center" wrapText="1"/>
      <protection locked="0"/>
    </xf>
    <xf numFmtId="0" fontId="9" fillId="2" borderId="0" xfId="0" applyFont="1" applyFill="1" applyAlignment="1" applyProtection="1">
      <alignment vertical="center"/>
      <protection locked="0"/>
    </xf>
    <xf numFmtId="0" fontId="9" fillId="2" borderId="0" xfId="0" applyFont="1" applyFill="1" applyAlignment="1" applyProtection="1">
      <alignment vertical="center" wrapText="1"/>
      <protection locked="0"/>
    </xf>
    <xf numFmtId="0" fontId="9" fillId="0" borderId="1" xfId="0" applyFont="1" applyBorder="1" applyAlignment="1" applyProtection="1">
      <alignment vertical="center"/>
      <protection locked="0"/>
    </xf>
    <xf numFmtId="0" fontId="9" fillId="0" borderId="2" xfId="0" applyFont="1" applyBorder="1"/>
    <xf numFmtId="0" fontId="9" fillId="0" borderId="0" xfId="0" applyFont="1" applyBorder="1" applyAlignment="1" applyProtection="1">
      <alignment vertical="center"/>
      <protection locked="0"/>
    </xf>
    <xf numFmtId="0" fontId="9" fillId="0" borderId="0" xfId="0" applyFont="1" applyBorder="1" applyAlignment="1" applyProtection="1">
      <alignment vertical="center" wrapText="1"/>
      <protection locked="0"/>
    </xf>
    <xf numFmtId="0" fontId="9" fillId="0" borderId="0" xfId="0" applyFont="1" applyBorder="1" applyAlignment="1">
      <alignment vertical="center" wrapText="1"/>
    </xf>
    <xf numFmtId="0" fontId="9" fillId="0" borderId="3" xfId="0" applyFont="1" applyBorder="1" applyAlignment="1">
      <alignment vertical="center" wrapText="1"/>
    </xf>
    <xf numFmtId="0" fontId="9" fillId="0" borderId="0" xfId="0" applyFont="1" applyAlignment="1">
      <alignment vertical="center"/>
    </xf>
    <xf numFmtId="0" fontId="9" fillId="0" borderId="0" xfId="0" applyFont="1" applyAlignment="1">
      <alignment vertical="center" wrapText="1"/>
    </xf>
    <xf numFmtId="0" fontId="7" fillId="0" borderId="4" xfId="0" applyFont="1" applyBorder="1" applyAlignment="1">
      <alignment vertical="center"/>
    </xf>
    <xf numFmtId="0" fontId="9" fillId="0" borderId="5" xfId="0" applyFont="1" applyBorder="1" applyAlignment="1">
      <alignment vertical="center"/>
    </xf>
    <xf numFmtId="0" fontId="9" fillId="0" borderId="5" xfId="0" applyFont="1" applyBorder="1" applyAlignment="1">
      <alignment vertical="center" wrapText="1"/>
    </xf>
    <xf numFmtId="0" fontId="9" fillId="0" borderId="6" xfId="0" applyFont="1" applyBorder="1" applyAlignment="1">
      <alignment vertical="center"/>
    </xf>
    <xf numFmtId="0" fontId="9" fillId="0" borderId="0" xfId="0" applyFont="1" applyBorder="1" applyAlignment="1">
      <alignment vertical="center"/>
    </xf>
    <xf numFmtId="0" fontId="9" fillId="0" borderId="7" xfId="0" applyFont="1" applyBorder="1" applyAlignment="1">
      <alignment vertical="center"/>
    </xf>
    <xf numFmtId="0" fontId="9" fillId="0" borderId="3" xfId="0" applyFont="1" applyBorder="1" applyAlignment="1">
      <alignment vertical="center"/>
    </xf>
    <xf numFmtId="0" fontId="7" fillId="0" borderId="5" xfId="0" applyFont="1" applyBorder="1" applyAlignment="1">
      <alignment vertical="center"/>
    </xf>
    <xf numFmtId="164" fontId="9" fillId="0" borderId="0" xfId="2" applyNumberFormat="1" applyFont="1" applyBorder="1" applyAlignment="1" applyProtection="1">
      <alignment vertical="center"/>
      <protection locked="0"/>
    </xf>
    <xf numFmtId="164" fontId="9" fillId="0" borderId="0" xfId="2" applyNumberFormat="1" applyFont="1" applyAlignment="1" applyProtection="1">
      <alignment vertical="center"/>
      <protection locked="0"/>
    </xf>
    <xf numFmtId="164" fontId="9" fillId="0" borderId="1" xfId="2" applyNumberFormat="1" applyFont="1" applyBorder="1" applyAlignment="1" applyProtection="1">
      <alignment vertical="center"/>
      <protection locked="0"/>
    </xf>
    <xf numFmtId="164" fontId="7" fillId="0" borderId="3" xfId="2" applyNumberFormat="1" applyFont="1" applyBorder="1" applyAlignment="1" applyProtection="1">
      <alignment vertical="center"/>
    </xf>
    <xf numFmtId="0" fontId="9" fillId="0" borderId="0" xfId="0" applyFont="1" applyFill="1"/>
    <xf numFmtId="166" fontId="9" fillId="0" borderId="0" xfId="3" applyNumberFormat="1" applyFont="1"/>
    <xf numFmtId="166" fontId="9" fillId="0" borderId="0" xfId="0" applyNumberFormat="1" applyFont="1"/>
    <xf numFmtId="164" fontId="9" fillId="0" borderId="0" xfId="2" applyNumberFormat="1" applyFont="1"/>
    <xf numFmtId="164" fontId="9" fillId="0" borderId="0" xfId="0" applyNumberFormat="1" applyFont="1"/>
    <xf numFmtId="164" fontId="9" fillId="0" borderId="8" xfId="2" applyNumberFormat="1" applyFont="1" applyBorder="1"/>
    <xf numFmtId="0" fontId="9" fillId="0" borderId="0" xfId="0" applyFont="1" applyAlignment="1">
      <alignment horizontal="left" wrapText="1"/>
    </xf>
    <xf numFmtId="0" fontId="10" fillId="0" borderId="0" xfId="0" applyFont="1"/>
    <xf numFmtId="164" fontId="10" fillId="0" borderId="0" xfId="2" applyNumberFormat="1" applyFont="1"/>
    <xf numFmtId="165" fontId="10" fillId="0" borderId="0" xfId="1" applyNumberFormat="1" applyFont="1" applyBorder="1"/>
    <xf numFmtId="0" fontId="11" fillId="0" borderId="0" xfId="0" applyFont="1"/>
    <xf numFmtId="165" fontId="11" fillId="0" borderId="9" xfId="1" applyNumberFormat="1" applyFont="1" applyBorder="1" applyAlignment="1">
      <alignment horizontal="center"/>
    </xf>
    <xf numFmtId="165" fontId="11" fillId="0" borderId="0" xfId="1" applyNumberFormat="1" applyFont="1" applyAlignment="1">
      <alignment horizontal="center"/>
    </xf>
    <xf numFmtId="165" fontId="11" fillId="0" borderId="10" xfId="1" applyNumberFormat="1" applyFont="1" applyBorder="1" applyAlignment="1">
      <alignment horizontal="center"/>
    </xf>
    <xf numFmtId="165" fontId="11" fillId="0" borderId="11" xfId="1" applyNumberFormat="1" applyFont="1" applyBorder="1" applyAlignment="1">
      <alignment horizontal="center"/>
    </xf>
    <xf numFmtId="165" fontId="11" fillId="0" borderId="12" xfId="1" applyNumberFormat="1" applyFont="1" applyBorder="1" applyAlignment="1">
      <alignment horizontal="center"/>
    </xf>
    <xf numFmtId="165" fontId="11" fillId="0" borderId="13" xfId="1" applyNumberFormat="1" applyFont="1" applyBorder="1" applyAlignment="1">
      <alignment horizontal="center"/>
    </xf>
    <xf numFmtId="165" fontId="11" fillId="0" borderId="0" xfId="1" applyNumberFormat="1" applyFont="1" applyBorder="1" applyAlignment="1">
      <alignment horizontal="center"/>
    </xf>
    <xf numFmtId="165" fontId="11" fillId="0" borderId="0" xfId="1" applyNumberFormat="1" applyFont="1" applyFill="1" applyBorder="1" applyAlignment="1">
      <alignment horizontal="center"/>
    </xf>
    <xf numFmtId="0" fontId="11" fillId="0" borderId="0" xfId="0" applyFont="1" applyAlignment="1">
      <alignment horizontal="center"/>
    </xf>
    <xf numFmtId="165" fontId="10" fillId="0" borderId="9" xfId="1" applyNumberFormat="1" applyFont="1" applyBorder="1"/>
    <xf numFmtId="165" fontId="10" fillId="0" borderId="0" xfId="1" applyNumberFormat="1" applyFont="1" applyBorder="1" applyAlignment="1">
      <alignment horizontal="center"/>
    </xf>
    <xf numFmtId="165" fontId="10" fillId="0" borderId="9" xfId="1" applyNumberFormat="1" applyFont="1" applyBorder="1" applyAlignment="1">
      <alignment horizontal="center"/>
    </xf>
    <xf numFmtId="165" fontId="10" fillId="0" borderId="0" xfId="1" applyNumberFormat="1" applyFont="1" applyAlignment="1">
      <alignment horizontal="center"/>
    </xf>
    <xf numFmtId="165" fontId="10" fillId="0" borderId="10" xfId="1" applyNumberFormat="1" applyFont="1" applyBorder="1" applyAlignment="1">
      <alignment horizontal="center"/>
    </xf>
    <xf numFmtId="165" fontId="10" fillId="0" borderId="11" xfId="1" applyNumberFormat="1" applyFont="1" applyBorder="1" applyAlignment="1">
      <alignment horizontal="center"/>
    </xf>
    <xf numFmtId="165" fontId="10" fillId="0" borderId="12" xfId="1" applyNumberFormat="1" applyFont="1" applyBorder="1" applyAlignment="1">
      <alignment horizontal="center"/>
    </xf>
    <xf numFmtId="165" fontId="10" fillId="0" borderId="13" xfId="1" applyNumberFormat="1" applyFont="1" applyBorder="1" applyAlignment="1">
      <alignment horizontal="center"/>
    </xf>
    <xf numFmtId="165" fontId="10" fillId="0" borderId="14" xfId="1" applyNumberFormat="1" applyFont="1" applyBorder="1" applyAlignment="1">
      <alignment horizontal="center"/>
    </xf>
    <xf numFmtId="165" fontId="10" fillId="0" borderId="3" xfId="1" applyNumberFormat="1" applyFont="1" applyBorder="1" applyAlignment="1">
      <alignment horizontal="center"/>
    </xf>
    <xf numFmtId="165" fontId="10" fillId="0" borderId="15" xfId="1" applyNumberFormat="1" applyFont="1" applyBorder="1" applyAlignment="1">
      <alignment horizontal="center"/>
    </xf>
    <xf numFmtId="165" fontId="10" fillId="0" borderId="16" xfId="1" applyNumberFormat="1" applyFont="1" applyBorder="1" applyAlignment="1">
      <alignment horizontal="center"/>
    </xf>
    <xf numFmtId="165" fontId="10" fillId="0" borderId="17" xfId="1" applyNumberFormat="1" applyFont="1" applyBorder="1" applyAlignment="1">
      <alignment horizontal="center"/>
    </xf>
    <xf numFmtId="165" fontId="10" fillId="0" borderId="18" xfId="1" applyNumberFormat="1" applyFont="1" applyBorder="1" applyAlignment="1">
      <alignment horizontal="center"/>
    </xf>
    <xf numFmtId="165" fontId="10" fillId="0" borderId="14" xfId="1" applyNumberFormat="1" applyFont="1" applyBorder="1"/>
    <xf numFmtId="165" fontId="10" fillId="0" borderId="0" xfId="1" applyNumberFormat="1" applyFont="1" applyFill="1" applyBorder="1" applyAlignment="1">
      <alignment horizontal="left"/>
    </xf>
    <xf numFmtId="165" fontId="10" fillId="0" borderId="0" xfId="1" applyNumberFormat="1" applyFont="1"/>
    <xf numFmtId="165" fontId="10" fillId="0" borderId="10" xfId="1" applyNumberFormat="1" applyFont="1" applyBorder="1"/>
    <xf numFmtId="165" fontId="10" fillId="0" borderId="11" xfId="1" applyNumberFormat="1" applyFont="1" applyBorder="1"/>
    <xf numFmtId="165" fontId="10" fillId="0" borderId="19" xfId="1" applyNumberFormat="1" applyFont="1" applyBorder="1"/>
    <xf numFmtId="165" fontId="10" fillId="0" borderId="13" xfId="1" applyNumberFormat="1" applyFont="1" applyBorder="1"/>
    <xf numFmtId="164" fontId="10" fillId="0" borderId="9" xfId="2" applyNumberFormat="1" applyFont="1" applyBorder="1"/>
    <xf numFmtId="164" fontId="10" fillId="0" borderId="10" xfId="2" applyNumberFormat="1" applyFont="1" applyBorder="1"/>
    <xf numFmtId="164" fontId="10" fillId="0" borderId="11" xfId="2" applyNumberFormat="1" applyFont="1" applyBorder="1"/>
    <xf numFmtId="164" fontId="10" fillId="0" borderId="12" xfId="2" applyNumberFormat="1" applyFont="1" applyBorder="1"/>
    <xf numFmtId="164" fontId="10" fillId="0" borderId="13" xfId="2" applyNumberFormat="1" applyFont="1" applyBorder="1"/>
    <xf numFmtId="3" fontId="10" fillId="3" borderId="0" xfId="0" applyNumberFormat="1" applyFont="1" applyFill="1"/>
    <xf numFmtId="3" fontId="10" fillId="0" borderId="0" xfId="0" applyNumberFormat="1" applyFont="1"/>
    <xf numFmtId="37" fontId="10" fillId="0" borderId="0" xfId="0" applyNumberFormat="1" applyFont="1"/>
    <xf numFmtId="165" fontId="10" fillId="0" borderId="0" xfId="0" applyNumberFormat="1" applyFont="1"/>
    <xf numFmtId="0" fontId="10" fillId="0" borderId="0" xfId="0" applyFont="1" applyBorder="1"/>
    <xf numFmtId="0" fontId="10" fillId="0" borderId="0" xfId="0" applyFont="1" applyAlignment="1">
      <alignment horizontal="right"/>
    </xf>
    <xf numFmtId="165" fontId="10" fillId="0" borderId="0" xfId="1" applyNumberFormat="1" applyFont="1" applyFill="1" applyBorder="1"/>
    <xf numFmtId="0" fontId="10" fillId="0" borderId="0" xfId="0" applyFont="1" applyFill="1"/>
    <xf numFmtId="0" fontId="9" fillId="0" borderId="0" xfId="0" applyFont="1" applyFill="1" applyAlignment="1">
      <alignment horizontal="left" wrapText="1"/>
    </xf>
    <xf numFmtId="0" fontId="7" fillId="0" borderId="0" xfId="0" applyFont="1" applyFill="1" applyAlignment="1">
      <alignment horizontal="left"/>
    </xf>
    <xf numFmtId="0" fontId="7" fillId="0" borderId="32" xfId="0" applyFont="1" applyBorder="1" applyAlignment="1" applyProtection="1">
      <alignment vertical="center"/>
      <protection locked="0"/>
    </xf>
    <xf numFmtId="0" fontId="9" fillId="0" borderId="32" xfId="0" applyFont="1" applyBorder="1" applyAlignment="1" applyProtection="1">
      <alignment vertical="center"/>
      <protection locked="0"/>
    </xf>
    <xf numFmtId="0" fontId="9" fillId="0" borderId="32" xfId="0" applyFont="1" applyBorder="1" applyAlignment="1" applyProtection="1">
      <alignment vertical="center" wrapText="1"/>
      <protection locked="0"/>
    </xf>
    <xf numFmtId="165" fontId="9" fillId="2" borderId="32" xfId="1" applyNumberFormat="1" applyFont="1" applyFill="1" applyBorder="1" applyAlignment="1" applyProtection="1">
      <alignment vertical="center"/>
    </xf>
    <xf numFmtId="165" fontId="9" fillId="2" borderId="32" xfId="1" applyNumberFormat="1" applyFont="1" applyFill="1" applyBorder="1" applyAlignment="1" applyProtection="1">
      <alignment vertical="center"/>
      <protection locked="0"/>
    </xf>
    <xf numFmtId="164" fontId="9" fillId="0" borderId="32" xfId="2" applyNumberFormat="1" applyFont="1" applyBorder="1" applyAlignment="1" applyProtection="1">
      <alignment vertical="center"/>
    </xf>
    <xf numFmtId="164" fontId="9" fillId="2" borderId="32" xfId="2" applyNumberFormat="1" applyFont="1" applyFill="1" applyBorder="1" applyAlignment="1" applyProtection="1">
      <alignment vertical="center"/>
      <protection locked="0"/>
    </xf>
    <xf numFmtId="44" fontId="7" fillId="2" borderId="32" xfId="2" applyNumberFormat="1" applyFont="1" applyFill="1" applyBorder="1" applyAlignment="1" applyProtection="1">
      <alignment vertical="center"/>
      <protection locked="0"/>
    </xf>
    <xf numFmtId="0" fontId="9" fillId="4" borderId="32" xfId="0" applyFont="1" applyFill="1" applyBorder="1" applyAlignment="1" applyProtection="1">
      <alignment vertical="center" wrapText="1"/>
      <protection locked="0"/>
    </xf>
    <xf numFmtId="44" fontId="9" fillId="2" borderId="32" xfId="2" applyNumberFormat="1" applyFont="1" applyFill="1" applyBorder="1" applyAlignment="1" applyProtection="1">
      <alignment vertical="center"/>
      <protection locked="0"/>
    </xf>
    <xf numFmtId="0" fontId="7" fillId="0" borderId="33" xfId="0" applyFont="1" applyBorder="1" applyAlignment="1" applyProtection="1">
      <alignment vertical="center"/>
      <protection locked="0"/>
    </xf>
    <xf numFmtId="0" fontId="9" fillId="0" borderId="33"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9" fillId="0" borderId="34" xfId="0" applyFont="1" applyBorder="1" applyAlignment="1" applyProtection="1">
      <alignment vertical="center"/>
      <protection locked="0"/>
    </xf>
    <xf numFmtId="164" fontId="9" fillId="0" borderId="32" xfId="2" applyNumberFormat="1" applyFont="1" applyFill="1" applyBorder="1" applyAlignment="1" applyProtection="1">
      <alignment vertical="center"/>
      <protection locked="0"/>
    </xf>
    <xf numFmtId="0" fontId="9" fillId="0" borderId="35" xfId="0" applyFont="1" applyFill="1" applyBorder="1" applyAlignment="1" applyProtection="1">
      <alignment vertical="center"/>
      <protection locked="0"/>
    </xf>
    <xf numFmtId="164" fontId="9" fillId="0" borderId="35" xfId="2" applyNumberFormat="1" applyFont="1" applyFill="1" applyBorder="1" applyAlignment="1" applyProtection="1">
      <alignment vertical="center"/>
    </xf>
    <xf numFmtId="164" fontId="9" fillId="0" borderId="35" xfId="2" applyNumberFormat="1" applyFont="1" applyFill="1" applyBorder="1" applyAlignment="1" applyProtection="1">
      <alignment vertical="center"/>
      <protection locked="0"/>
    </xf>
    <xf numFmtId="0" fontId="9" fillId="0" borderId="35" xfId="0" applyFont="1" applyFill="1" applyBorder="1" applyAlignment="1" applyProtection="1">
      <alignment vertical="center" wrapText="1"/>
      <protection locked="0"/>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38" xfId="0" applyFont="1" applyBorder="1" applyAlignment="1" applyProtection="1">
      <alignment vertical="center"/>
      <protection locked="0"/>
    </xf>
    <xf numFmtId="0" fontId="9" fillId="0" borderId="39" xfId="0" applyFont="1" applyBorder="1" applyAlignment="1" applyProtection="1">
      <alignment vertical="center"/>
      <protection locked="0"/>
    </xf>
    <xf numFmtId="0" fontId="9" fillId="0" borderId="40" xfId="0" applyFont="1" applyBorder="1" applyAlignment="1" applyProtection="1">
      <alignment vertical="center"/>
      <protection locked="0"/>
    </xf>
    <xf numFmtId="0" fontId="9" fillId="0" borderId="41" xfId="0" applyFont="1" applyBorder="1" applyAlignment="1" applyProtection="1">
      <alignment vertical="center"/>
      <protection locked="0"/>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44" xfId="0" applyFont="1" applyBorder="1" applyAlignment="1" applyProtection="1">
      <alignment vertical="center"/>
      <protection locked="0"/>
    </xf>
    <xf numFmtId="165" fontId="9" fillId="2" borderId="38" xfId="1" applyNumberFormat="1" applyFont="1" applyFill="1" applyBorder="1" applyAlignment="1" applyProtection="1">
      <alignment vertical="center"/>
      <protection locked="0"/>
    </xf>
    <xf numFmtId="164" fontId="9" fillId="2" borderId="39" xfId="2" applyNumberFormat="1" applyFont="1" applyFill="1" applyBorder="1" applyAlignment="1" applyProtection="1">
      <alignment vertical="center"/>
      <protection locked="0"/>
    </xf>
    <xf numFmtId="164" fontId="9" fillId="2" borderId="45" xfId="2" applyNumberFormat="1" applyFont="1" applyFill="1" applyBorder="1" applyAlignment="1" applyProtection="1">
      <alignment vertical="center"/>
      <protection locked="0"/>
    </xf>
    <xf numFmtId="0" fontId="9" fillId="0" borderId="35" xfId="0" applyFont="1" applyBorder="1" applyAlignment="1" applyProtection="1">
      <alignment vertical="center"/>
      <protection locked="0"/>
    </xf>
    <xf numFmtId="0" fontId="7" fillId="0" borderId="46" xfId="0" applyFont="1" applyBorder="1" applyAlignment="1" applyProtection="1">
      <alignment vertical="center"/>
      <protection locked="0"/>
    </xf>
    <xf numFmtId="0" fontId="7" fillId="0" borderId="47" xfId="0" applyFont="1" applyBorder="1" applyAlignment="1" applyProtection="1">
      <alignment vertical="center"/>
      <protection locked="0"/>
    </xf>
    <xf numFmtId="164" fontId="9" fillId="0" borderId="47" xfId="2" applyNumberFormat="1" applyFont="1" applyBorder="1" applyAlignment="1" applyProtection="1">
      <alignment vertical="center"/>
      <protection locked="0"/>
    </xf>
    <xf numFmtId="0" fontId="9" fillId="0" borderId="47" xfId="0" applyFont="1" applyBorder="1" applyAlignment="1" applyProtection="1">
      <alignment vertical="center"/>
      <protection locked="0"/>
    </xf>
    <xf numFmtId="0" fontId="9" fillId="0" borderId="48" xfId="0" applyFont="1" applyBorder="1" applyAlignment="1" applyProtection="1">
      <alignment vertical="center" wrapText="1"/>
      <protection locked="0"/>
    </xf>
    <xf numFmtId="0" fontId="9" fillId="0" borderId="49"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51" xfId="0" applyFont="1" applyBorder="1" applyAlignment="1" applyProtection="1">
      <alignment vertical="center"/>
      <protection locked="0"/>
    </xf>
    <xf numFmtId="0" fontId="9" fillId="0" borderId="52" xfId="0" applyFont="1" applyBorder="1" applyAlignment="1" applyProtection="1">
      <alignment vertical="center"/>
      <protection locked="0"/>
    </xf>
    <xf numFmtId="0" fontId="9" fillId="0" borderId="53" xfId="0" applyFont="1" applyBorder="1" applyAlignment="1" applyProtection="1">
      <alignment vertical="center"/>
      <protection locked="0"/>
    </xf>
    <xf numFmtId="164" fontId="7" fillId="0" borderId="54" xfId="2" applyNumberFormat="1" applyFont="1" applyBorder="1" applyAlignment="1" applyProtection="1">
      <alignment vertical="center"/>
    </xf>
    <xf numFmtId="164" fontId="13" fillId="0" borderId="55" xfId="2" applyNumberFormat="1" applyFont="1" applyBorder="1" applyAlignment="1" applyProtection="1">
      <alignment vertical="center"/>
      <protection locked="0"/>
    </xf>
    <xf numFmtId="0" fontId="9" fillId="0" borderId="56" xfId="0" applyFont="1" applyBorder="1" applyAlignment="1" applyProtection="1">
      <alignment vertical="center"/>
      <protection locked="0"/>
    </xf>
    <xf numFmtId="0" fontId="9" fillId="0" borderId="57" xfId="0" applyFont="1" applyBorder="1" applyAlignment="1" applyProtection="1">
      <alignment vertical="center" wrapText="1"/>
      <protection locked="0"/>
    </xf>
    <xf numFmtId="0" fontId="7" fillId="0" borderId="35" xfId="0" applyFont="1" applyBorder="1" applyAlignment="1" applyProtection="1">
      <alignment vertical="center"/>
      <protection locked="0"/>
    </xf>
    <xf numFmtId="164" fontId="13" fillId="0" borderId="58" xfId="2" applyNumberFormat="1" applyFont="1" applyBorder="1" applyAlignment="1" applyProtection="1">
      <alignment vertical="center"/>
    </xf>
    <xf numFmtId="0" fontId="9" fillId="0" borderId="60" xfId="0" applyFont="1" applyBorder="1" applyAlignment="1" applyProtection="1">
      <alignment vertical="center" wrapText="1"/>
      <protection locked="0"/>
    </xf>
    <xf numFmtId="164" fontId="9" fillId="0" borderId="32" xfId="2" applyNumberFormat="1" applyFont="1" applyBorder="1" applyAlignment="1" applyProtection="1">
      <alignment horizontal="right" vertical="center"/>
      <protection locked="0"/>
    </xf>
    <xf numFmtId="9" fontId="9" fillId="2" borderId="32" xfId="0" applyNumberFormat="1" applyFont="1" applyFill="1" applyBorder="1" applyAlignment="1" applyProtection="1">
      <alignment vertical="center"/>
      <protection locked="0"/>
    </xf>
    <xf numFmtId="164" fontId="9" fillId="2" borderId="32" xfId="2" applyNumberFormat="1" applyFont="1" applyFill="1" applyBorder="1" applyAlignment="1" applyProtection="1">
      <alignment vertical="center"/>
    </xf>
    <xf numFmtId="164" fontId="13" fillId="0" borderId="32" xfId="2" applyNumberFormat="1" applyFont="1" applyBorder="1" applyAlignment="1" applyProtection="1">
      <alignment vertical="center"/>
    </xf>
    <xf numFmtId="9" fontId="9" fillId="2" borderId="32" xfId="0" applyNumberFormat="1" applyFont="1" applyFill="1" applyBorder="1" applyAlignment="1" applyProtection="1">
      <alignment vertical="center" wrapText="1"/>
      <protection locked="0"/>
    </xf>
    <xf numFmtId="164" fontId="7" fillId="0" borderId="32" xfId="2" applyNumberFormat="1" applyFont="1" applyBorder="1" applyAlignment="1" applyProtection="1">
      <alignment vertical="center"/>
    </xf>
    <xf numFmtId="0" fontId="7" fillId="0" borderId="32" xfId="0" applyFont="1" applyBorder="1" applyAlignment="1" applyProtection="1">
      <alignment vertical="center" wrapText="1"/>
      <protection locked="0"/>
    </xf>
    <xf numFmtId="0" fontId="9" fillId="0" borderId="61" xfId="0" applyFont="1" applyBorder="1" applyAlignment="1" applyProtection="1">
      <alignment vertical="center"/>
      <protection locked="0"/>
    </xf>
    <xf numFmtId="164" fontId="9" fillId="2" borderId="59" xfId="2" applyNumberFormat="1" applyFont="1" applyFill="1" applyBorder="1" applyAlignment="1" applyProtection="1">
      <alignment vertical="center"/>
      <protection locked="0"/>
    </xf>
    <xf numFmtId="0" fontId="9" fillId="0" borderId="63" xfId="0" applyFont="1" applyBorder="1" applyAlignment="1" applyProtection="1">
      <alignment vertical="center"/>
      <protection locked="0"/>
    </xf>
    <xf numFmtId="0" fontId="9" fillId="0" borderId="64" xfId="0" applyFont="1" applyBorder="1" applyAlignment="1" applyProtection="1">
      <alignment vertical="center"/>
      <protection locked="0"/>
    </xf>
    <xf numFmtId="0" fontId="9" fillId="0" borderId="64" xfId="0" applyFont="1" applyBorder="1" applyAlignment="1" applyProtection="1">
      <alignment vertical="center" wrapText="1"/>
      <protection locked="0"/>
    </xf>
    <xf numFmtId="164" fontId="9" fillId="2" borderId="64" xfId="2" applyNumberFormat="1" applyFont="1" applyFill="1" applyBorder="1" applyAlignment="1" applyProtection="1">
      <alignment vertical="center"/>
      <protection locked="0"/>
    </xf>
    <xf numFmtId="0" fontId="9" fillId="0" borderId="65" xfId="0" applyFont="1" applyBorder="1" applyAlignment="1" applyProtection="1">
      <alignment vertical="center" wrapText="1"/>
      <protection locked="0"/>
    </xf>
    <xf numFmtId="164" fontId="9" fillId="0" borderId="64" xfId="2" applyNumberFormat="1" applyFont="1" applyBorder="1" applyAlignment="1" applyProtection="1">
      <alignment vertical="center"/>
    </xf>
    <xf numFmtId="164" fontId="7" fillId="0" borderId="67" xfId="2" applyNumberFormat="1" applyFont="1" applyBorder="1" applyAlignment="1" applyProtection="1">
      <alignment vertical="center"/>
    </xf>
    <xf numFmtId="0" fontId="7" fillId="0" borderId="68" xfId="0" applyFont="1" applyBorder="1" applyAlignment="1" applyProtection="1">
      <alignment vertical="center"/>
      <protection locked="0"/>
    </xf>
    <xf numFmtId="0" fontId="7" fillId="0" borderId="69" xfId="0" applyFont="1" applyBorder="1" applyAlignment="1" applyProtection="1">
      <alignment vertical="center"/>
      <protection locked="0"/>
    </xf>
    <xf numFmtId="0" fontId="9" fillId="0" borderId="32" xfId="0" applyFont="1" applyBorder="1"/>
    <xf numFmtId="5" fontId="9" fillId="2" borderId="32" xfId="2" applyNumberFormat="1" applyFont="1" applyFill="1" applyBorder="1" applyAlignment="1" applyProtection="1">
      <alignment horizontal="left" vertical="center"/>
      <protection locked="0"/>
    </xf>
    <xf numFmtId="164" fontId="9" fillId="5" borderId="32" xfId="2" applyNumberFormat="1" applyFont="1" applyFill="1" applyBorder="1" applyAlignment="1" applyProtection="1">
      <alignment vertical="center"/>
      <protection locked="0"/>
    </xf>
    <xf numFmtId="164" fontId="13" fillId="2" borderId="32" xfId="2" applyNumberFormat="1" applyFont="1" applyFill="1" applyBorder="1" applyAlignment="1" applyProtection="1">
      <alignment vertical="center"/>
      <protection locked="0"/>
    </xf>
    <xf numFmtId="10" fontId="8" fillId="0" borderId="32" xfId="3" applyNumberFormat="1" applyFont="1" applyBorder="1" applyAlignment="1" applyProtection="1">
      <alignment vertical="center" wrapText="1"/>
      <protection locked="0"/>
    </xf>
    <xf numFmtId="0" fontId="9" fillId="0" borderId="70" xfId="0" applyFont="1" applyBorder="1" applyAlignment="1" applyProtection="1">
      <alignment vertical="center"/>
      <protection locked="0"/>
    </xf>
    <xf numFmtId="164" fontId="8" fillId="0" borderId="71" xfId="2" applyNumberFormat="1" applyFont="1" applyBorder="1" applyAlignment="1" applyProtection="1">
      <alignment vertical="center"/>
    </xf>
    <xf numFmtId="10" fontId="8" fillId="0" borderId="71" xfId="3" applyNumberFormat="1" applyFont="1" applyBorder="1" applyAlignment="1" applyProtection="1">
      <alignment vertical="center" wrapText="1"/>
      <protection locked="0"/>
    </xf>
    <xf numFmtId="0" fontId="9" fillId="4" borderId="71" xfId="0" applyFont="1" applyFill="1" applyBorder="1" applyAlignment="1" applyProtection="1">
      <alignment vertical="center" wrapText="1"/>
      <protection locked="0"/>
    </xf>
    <xf numFmtId="164" fontId="7" fillId="0" borderId="72" xfId="2" applyNumberFormat="1" applyFont="1" applyBorder="1" applyAlignment="1" applyProtection="1">
      <alignment vertical="center"/>
    </xf>
    <xf numFmtId="10" fontId="7" fillId="0" borderId="73" xfId="0" applyNumberFormat="1" applyFont="1" applyBorder="1" applyAlignment="1" applyProtection="1">
      <alignment vertical="center" wrapText="1"/>
      <protection locked="0"/>
    </xf>
    <xf numFmtId="0" fontId="9" fillId="0" borderId="74" xfId="0" applyFont="1" applyBorder="1" applyAlignment="1" applyProtection="1">
      <alignment vertical="center" wrapText="1"/>
      <protection locked="0"/>
    </xf>
    <xf numFmtId="0" fontId="9" fillId="0" borderId="75" xfId="0" applyFont="1" applyBorder="1" applyAlignment="1" applyProtection="1">
      <alignment vertical="center" wrapText="1"/>
      <protection locked="0"/>
    </xf>
    <xf numFmtId="0" fontId="9" fillId="0" borderId="76" xfId="0" applyFont="1" applyBorder="1" applyAlignment="1" applyProtection="1">
      <alignment vertical="center" wrapText="1"/>
      <protection locked="0"/>
    </xf>
    <xf numFmtId="0" fontId="7" fillId="0" borderId="77" xfId="0" applyFont="1" applyBorder="1" applyAlignment="1" applyProtection="1">
      <alignment vertical="center" wrapText="1"/>
      <protection locked="0"/>
    </xf>
    <xf numFmtId="43" fontId="10" fillId="0" borderId="0" xfId="1" applyFont="1"/>
    <xf numFmtId="9" fontId="9" fillId="2" borderId="59" xfId="0" applyNumberFormat="1" applyFont="1" applyFill="1" applyBorder="1" applyAlignment="1" applyProtection="1">
      <alignment vertical="center"/>
      <protection locked="0"/>
    </xf>
    <xf numFmtId="167" fontId="9" fillId="2" borderId="62" xfId="2" applyNumberFormat="1" applyFont="1" applyFill="1" applyBorder="1" applyAlignment="1" applyProtection="1">
      <alignment vertical="center"/>
      <protection locked="0"/>
    </xf>
    <xf numFmtId="9" fontId="9" fillId="0" borderId="66" xfId="3" applyFont="1" applyBorder="1" applyAlignment="1" applyProtection="1">
      <alignment vertical="center"/>
      <protection locked="0"/>
    </xf>
    <xf numFmtId="0" fontId="7" fillId="0" borderId="6" xfId="0" applyFont="1" applyBorder="1" applyAlignment="1">
      <alignment vertical="center"/>
    </xf>
    <xf numFmtId="0" fontId="7" fillId="0" borderId="0" xfId="0" applyFont="1" applyBorder="1" applyAlignment="1">
      <alignment vertical="center"/>
    </xf>
    <xf numFmtId="0" fontId="9" fillId="0" borderId="0" xfId="0" applyFont="1" applyBorder="1" applyAlignment="1">
      <alignment horizontal="center" vertical="center"/>
    </xf>
    <xf numFmtId="164" fontId="9" fillId="0" borderId="0" xfId="0" applyNumberFormat="1" applyFont="1" applyBorder="1" applyAlignment="1">
      <alignment horizontal="center" vertical="center"/>
    </xf>
    <xf numFmtId="168" fontId="9" fillId="0" borderId="0" xfId="0" applyNumberFormat="1" applyFont="1" applyBorder="1" applyAlignment="1">
      <alignment horizontal="center" vertical="center"/>
    </xf>
    <xf numFmtId="169" fontId="9" fillId="0" borderId="0" xfId="0" applyNumberFormat="1" applyFont="1" applyBorder="1" applyAlignment="1">
      <alignment horizontal="center" vertical="center"/>
    </xf>
    <xf numFmtId="168" fontId="9" fillId="0" borderId="8" xfId="0" applyNumberFormat="1" applyFont="1" applyBorder="1" applyAlignment="1">
      <alignment horizontal="center" vertical="center"/>
    </xf>
    <xf numFmtId="0" fontId="9" fillId="0" borderId="8" xfId="0" applyFont="1" applyBorder="1" applyAlignment="1">
      <alignment horizontal="center" vertical="center"/>
    </xf>
    <xf numFmtId="166" fontId="9" fillId="2" borderId="0" xfId="3" applyNumberFormat="1" applyFont="1" applyFill="1"/>
    <xf numFmtId="166" fontId="9" fillId="2" borderId="8" xfId="3" applyNumberFormat="1" applyFont="1" applyFill="1" applyBorder="1"/>
    <xf numFmtId="166" fontId="9" fillId="2" borderId="0" xfId="0" applyNumberFormat="1" applyFont="1" applyFill="1"/>
    <xf numFmtId="166" fontId="9" fillId="2" borderId="8" xfId="0" applyNumberFormat="1" applyFont="1" applyFill="1" applyBorder="1"/>
    <xf numFmtId="0" fontId="11" fillId="0" borderId="8" xfId="0" applyFont="1" applyBorder="1"/>
    <xf numFmtId="170" fontId="10" fillId="0" borderId="0" xfId="2" applyNumberFormat="1" applyFont="1"/>
    <xf numFmtId="170" fontId="10" fillId="0" borderId="9" xfId="2" applyNumberFormat="1" applyFont="1" applyBorder="1"/>
    <xf numFmtId="170" fontId="10" fillId="0" borderId="10" xfId="2" applyNumberFormat="1" applyFont="1" applyBorder="1"/>
    <xf numFmtId="170" fontId="10" fillId="0" borderId="11" xfId="2" applyNumberFormat="1" applyFont="1" applyBorder="1"/>
    <xf numFmtId="170" fontId="10" fillId="0" borderId="12" xfId="2" applyNumberFormat="1" applyFont="1" applyBorder="1"/>
    <xf numFmtId="170" fontId="10" fillId="0" borderId="13" xfId="2" applyNumberFormat="1" applyFont="1" applyBorder="1"/>
    <xf numFmtId="170" fontId="10" fillId="0" borderId="20" xfId="2" applyNumberFormat="1" applyFont="1" applyBorder="1"/>
    <xf numFmtId="170" fontId="10" fillId="0" borderId="21" xfId="2" applyNumberFormat="1" applyFont="1" applyBorder="1"/>
    <xf numFmtId="170" fontId="10" fillId="0" borderId="0" xfId="2" applyNumberFormat="1" applyFont="1" applyBorder="1"/>
    <xf numFmtId="170" fontId="10" fillId="0" borderId="23" xfId="2" applyNumberFormat="1" applyFont="1" applyBorder="1"/>
    <xf numFmtId="170" fontId="10" fillId="0" borderId="29" xfId="2" applyNumberFormat="1" applyFont="1" applyBorder="1" applyAlignment="1">
      <alignment horizontal="right"/>
    </xf>
    <xf numFmtId="170" fontId="10" fillId="0" borderId="30" xfId="2" applyNumberFormat="1" applyFont="1" applyBorder="1" applyAlignment="1">
      <alignment horizontal="right"/>
    </xf>
    <xf numFmtId="170" fontId="10" fillId="0" borderId="25" xfId="2" applyNumberFormat="1" applyFont="1" applyBorder="1" applyAlignment="1">
      <alignment horizontal="right"/>
    </xf>
    <xf numFmtId="170" fontId="10" fillId="0" borderId="8" xfId="2" applyNumberFormat="1" applyFont="1" applyBorder="1" applyAlignment="1">
      <alignment horizontal="right"/>
    </xf>
    <xf numFmtId="170" fontId="10" fillId="0" borderId="26" xfId="2" applyNumberFormat="1" applyFont="1" applyBorder="1"/>
    <xf numFmtId="170" fontId="10" fillId="0" borderId="27" xfId="2" applyNumberFormat="1" applyFont="1" applyBorder="1"/>
    <xf numFmtId="170" fontId="10" fillId="0" borderId="28" xfId="2" applyNumberFormat="1" applyFont="1" applyBorder="1"/>
    <xf numFmtId="170" fontId="10" fillId="0" borderId="22" xfId="2" applyNumberFormat="1" applyFont="1" applyBorder="1"/>
    <xf numFmtId="170" fontId="12" fillId="0" borderId="9" xfId="2" applyNumberFormat="1" applyFont="1" applyBorder="1"/>
    <xf numFmtId="170" fontId="10" fillId="0" borderId="23" xfId="2" applyNumberFormat="1" applyFont="1" applyBorder="1" applyAlignment="1">
      <alignment horizontal="right"/>
    </xf>
    <xf numFmtId="170" fontId="10" fillId="0" borderId="24" xfId="2" applyNumberFormat="1" applyFont="1" applyBorder="1" applyAlignment="1">
      <alignment horizontal="right"/>
    </xf>
    <xf numFmtId="170" fontId="10" fillId="0" borderId="26" xfId="2" applyNumberFormat="1" applyFont="1" applyBorder="1" applyAlignment="1">
      <alignment horizontal="right"/>
    </xf>
    <xf numFmtId="170" fontId="10" fillId="0" borderId="27" xfId="2" applyNumberFormat="1" applyFont="1" applyBorder="1" applyAlignment="1">
      <alignment horizontal="right"/>
    </xf>
    <xf numFmtId="170" fontId="11" fillId="0" borderId="0" xfId="2" applyNumberFormat="1" applyFont="1"/>
    <xf numFmtId="170" fontId="10" fillId="0" borderId="0" xfId="0" applyNumberFormat="1" applyFont="1"/>
    <xf numFmtId="170" fontId="11" fillId="0" borderId="8" xfId="2" applyNumberFormat="1" applyFont="1" applyBorder="1"/>
    <xf numFmtId="170" fontId="10" fillId="0" borderId="29" xfId="2" applyNumberFormat="1" applyFont="1" applyBorder="1"/>
    <xf numFmtId="170" fontId="10" fillId="0" borderId="24" xfId="2" applyNumberFormat="1" applyFont="1" applyBorder="1"/>
    <xf numFmtId="170" fontId="10" fillId="0" borderId="25" xfId="2" applyNumberFormat="1" applyFont="1" applyBorder="1"/>
    <xf numFmtId="170" fontId="10" fillId="0" borderId="8" xfId="2" applyNumberFormat="1" applyFont="1" applyBorder="1"/>
    <xf numFmtId="0" fontId="11" fillId="0" borderId="0" xfId="1" applyNumberFormat="1" applyFont="1" applyAlignment="1">
      <alignment horizontal="right"/>
    </xf>
    <xf numFmtId="0" fontId="11" fillId="0" borderId="10" xfId="1" applyNumberFormat="1" applyFont="1" applyBorder="1" applyAlignment="1">
      <alignment horizontal="left"/>
    </xf>
    <xf numFmtId="164" fontId="10" fillId="0" borderId="0" xfId="0" applyNumberFormat="1" applyFont="1"/>
    <xf numFmtId="170" fontId="10" fillId="0" borderId="0" xfId="2" applyNumberFormat="1" applyFont="1" applyFill="1"/>
    <xf numFmtId="170" fontId="10" fillId="5" borderId="0" xfId="2" applyNumberFormat="1" applyFont="1" applyFill="1" applyBorder="1"/>
    <xf numFmtId="0" fontId="10" fillId="5" borderId="0" xfId="0" applyFont="1" applyFill="1" applyBorder="1"/>
    <xf numFmtId="165" fontId="10" fillId="5" borderId="0" xfId="1" applyNumberFormat="1" applyFont="1" applyFill="1" applyBorder="1"/>
    <xf numFmtId="0" fontId="10" fillId="5" borderId="78" xfId="0" quotePrefix="1" applyFont="1" applyFill="1" applyBorder="1"/>
    <xf numFmtId="170" fontId="10" fillId="5" borderId="31" xfId="2" applyNumberFormat="1" applyFont="1" applyFill="1" applyBorder="1"/>
    <xf numFmtId="170" fontId="10" fillId="5" borderId="28" xfId="2" applyNumberFormat="1" applyFont="1" applyFill="1" applyBorder="1"/>
    <xf numFmtId="0" fontId="10" fillId="5" borderId="2" xfId="0" applyFont="1" applyFill="1" applyBorder="1"/>
    <xf numFmtId="170" fontId="10" fillId="5" borderId="13" xfId="2" applyNumberFormat="1" applyFont="1" applyFill="1" applyBorder="1"/>
    <xf numFmtId="0" fontId="10" fillId="5" borderId="2" xfId="0" quotePrefix="1" applyFont="1" applyFill="1" applyBorder="1"/>
    <xf numFmtId="165" fontId="10" fillId="5" borderId="13" xfId="1" applyNumberFormat="1" applyFont="1" applyFill="1" applyBorder="1"/>
    <xf numFmtId="0" fontId="10" fillId="5" borderId="29" xfId="0" applyFont="1" applyFill="1" applyBorder="1"/>
    <xf numFmtId="0" fontId="10" fillId="5" borderId="8" xfId="0" applyFont="1" applyFill="1" applyBorder="1"/>
    <xf numFmtId="165" fontId="10" fillId="5" borderId="8" xfId="1" applyNumberFormat="1" applyFont="1" applyFill="1" applyBorder="1"/>
    <xf numFmtId="165" fontId="10" fillId="5" borderId="27" xfId="1" applyNumberFormat="1" applyFont="1" applyFill="1" applyBorder="1"/>
    <xf numFmtId="0" fontId="10" fillId="0" borderId="31" xfId="0" applyFont="1" applyBorder="1"/>
    <xf numFmtId="170" fontId="10" fillId="0" borderId="31" xfId="2" applyNumberFormat="1" applyFont="1" applyBorder="1"/>
    <xf numFmtId="15" fontId="7" fillId="0" borderId="0" xfId="0" applyNumberFormat="1" applyFont="1" applyAlignment="1" applyProtection="1">
      <alignment horizontal="center" vertical="center"/>
      <protection locked="0"/>
    </xf>
    <xf numFmtId="0" fontId="9" fillId="4" borderId="0" xfId="0" applyFont="1" applyFill="1" applyAlignment="1">
      <alignment horizontal="left" wrapText="1"/>
    </xf>
    <xf numFmtId="0" fontId="9" fillId="0" borderId="0" xfId="0"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0"/>
  <sheetViews>
    <sheetView showGridLines="0" tabSelected="1" zoomScale="130" zoomScaleNormal="130" workbookViewId="0">
      <selection activeCell="A9" sqref="A9"/>
    </sheetView>
  </sheetViews>
  <sheetFormatPr defaultColWidth="8.7109375" defaultRowHeight="12.75" x14ac:dyDescent="0.2"/>
  <cols>
    <col min="1" max="1" width="33.5703125" style="16" customWidth="1"/>
    <col min="2" max="2" width="31.28515625" style="16" bestFit="1" customWidth="1"/>
    <col min="3" max="3" width="11.42578125" style="16" customWidth="1"/>
    <col min="4" max="4" width="12.28515625" style="16" customWidth="1"/>
    <col min="5" max="5" width="48.85546875" style="17" customWidth="1"/>
    <col min="6" max="16384" width="8.7109375" style="5"/>
  </cols>
  <sheetData>
    <row r="1" spans="1:6" ht="12.75" customHeight="1" x14ac:dyDescent="0.2">
      <c r="A1" s="1" t="s">
        <v>24</v>
      </c>
      <c r="B1" s="1"/>
      <c r="C1" s="2" t="s">
        <v>109</v>
      </c>
      <c r="D1" s="238">
        <v>43862</v>
      </c>
      <c r="E1" s="3" t="s">
        <v>22</v>
      </c>
      <c r="F1" s="4"/>
    </row>
    <row r="2" spans="1:6" x14ac:dyDescent="0.2">
      <c r="A2" s="1" t="s">
        <v>110</v>
      </c>
      <c r="B2" s="1"/>
      <c r="C2" s="6"/>
      <c r="D2" s="6"/>
      <c r="E2" s="6" t="s">
        <v>207</v>
      </c>
      <c r="F2" s="4"/>
    </row>
    <row r="3" spans="1:6" ht="25.5" x14ac:dyDescent="0.2">
      <c r="A3" s="1"/>
      <c r="B3" s="1"/>
      <c r="C3" s="6"/>
      <c r="D3" s="6"/>
      <c r="E3" s="7" t="s">
        <v>208</v>
      </c>
      <c r="F3" s="4"/>
    </row>
    <row r="4" spans="1:6" ht="12.75" customHeight="1" x14ac:dyDescent="0.2">
      <c r="A4" s="8" t="s">
        <v>191</v>
      </c>
      <c r="B4" s="8"/>
      <c r="C4" s="8"/>
      <c r="D4" s="8"/>
      <c r="E4" s="9"/>
      <c r="F4" s="4"/>
    </row>
    <row r="5" spans="1:6" ht="12.75" customHeight="1" x14ac:dyDescent="0.2">
      <c r="A5" s="6"/>
      <c r="B5" s="6"/>
      <c r="C5" s="6"/>
      <c r="D5" s="6"/>
      <c r="E5" s="7"/>
      <c r="F5" s="4"/>
    </row>
    <row r="6" spans="1:6" ht="13.5" thickBot="1" x14ac:dyDescent="0.25">
      <c r="A6" s="1" t="s">
        <v>156</v>
      </c>
      <c r="B6" s="1"/>
      <c r="C6" s="6"/>
      <c r="D6" s="6"/>
      <c r="E6" s="7"/>
    </row>
    <row r="7" spans="1:6" ht="12.75" customHeight="1" thickBot="1" x14ac:dyDescent="0.25">
      <c r="A7" s="96" t="s">
        <v>38</v>
      </c>
      <c r="B7" s="98"/>
      <c r="C7" s="87"/>
      <c r="D7" s="87"/>
      <c r="E7" s="88" t="s">
        <v>150</v>
      </c>
      <c r="F7" s="4"/>
    </row>
    <row r="8" spans="1:6" ht="12.75" customHeight="1" thickBot="1" x14ac:dyDescent="0.25">
      <c r="A8" s="97"/>
      <c r="B8" s="99"/>
      <c r="C8" s="87"/>
      <c r="D8" s="87"/>
      <c r="E8" s="88"/>
      <c r="F8" s="4"/>
    </row>
    <row r="9" spans="1:6" ht="12.75" customHeight="1" thickBot="1" x14ac:dyDescent="0.25">
      <c r="A9" s="97" t="s">
        <v>0</v>
      </c>
      <c r="B9" s="99"/>
      <c r="C9" s="89">
        <v>4000</v>
      </c>
      <c r="D9" s="87"/>
      <c r="E9" s="88" t="s">
        <v>139</v>
      </c>
      <c r="F9" s="4"/>
    </row>
    <row r="10" spans="1:6" ht="12.75" customHeight="1" thickBot="1" x14ac:dyDescent="0.25">
      <c r="A10" s="97" t="s">
        <v>1</v>
      </c>
      <c r="B10" s="99"/>
      <c r="C10" s="90">
        <v>6000</v>
      </c>
      <c r="D10" s="87"/>
      <c r="E10" s="88"/>
      <c r="F10" s="4"/>
    </row>
    <row r="11" spans="1:6" ht="12.75" customHeight="1" thickBot="1" x14ac:dyDescent="0.25">
      <c r="A11" s="97"/>
      <c r="B11" s="99"/>
      <c r="C11" s="87"/>
      <c r="D11" s="87"/>
      <c r="E11" s="88"/>
      <c r="F11" s="4"/>
    </row>
    <row r="12" spans="1:6" ht="38.25" customHeight="1" thickBot="1" x14ac:dyDescent="0.25">
      <c r="A12" s="97" t="s">
        <v>6</v>
      </c>
      <c r="B12" s="99"/>
      <c r="C12" s="91">
        <f>C9*D12</f>
        <v>2000000</v>
      </c>
      <c r="D12" s="92">
        <v>500</v>
      </c>
      <c r="E12" s="88" t="s">
        <v>111</v>
      </c>
      <c r="F12" s="4"/>
    </row>
    <row r="13" spans="1:6" ht="13.5" thickBot="1" x14ac:dyDescent="0.25">
      <c r="A13" s="101"/>
      <c r="B13" s="101"/>
      <c r="C13" s="102"/>
      <c r="D13" s="103"/>
      <c r="E13" s="104"/>
      <c r="F13" s="4"/>
    </row>
    <row r="14" spans="1:6" ht="25.5" customHeight="1" thickBot="1" x14ac:dyDescent="0.25">
      <c r="A14" s="97" t="s">
        <v>23</v>
      </c>
      <c r="B14" s="99"/>
      <c r="C14" s="93">
        <v>14</v>
      </c>
      <c r="D14" s="87"/>
      <c r="E14" s="94" t="s">
        <v>112</v>
      </c>
      <c r="F14" s="4"/>
    </row>
    <row r="15" spans="1:6" ht="39" thickBot="1" x14ac:dyDescent="0.25">
      <c r="A15" s="97" t="s">
        <v>13</v>
      </c>
      <c r="B15" s="99"/>
      <c r="C15" s="95">
        <v>2</v>
      </c>
      <c r="D15" s="87"/>
      <c r="E15" s="88" t="s">
        <v>148</v>
      </c>
      <c r="F15" s="4"/>
    </row>
    <row r="16" spans="1:6" ht="12.75" customHeight="1" thickBot="1" x14ac:dyDescent="0.25">
      <c r="A16" s="97" t="s">
        <v>126</v>
      </c>
      <c r="B16" s="99"/>
      <c r="C16" s="95">
        <v>0.75</v>
      </c>
      <c r="D16" s="87"/>
      <c r="E16" s="88"/>
      <c r="F16" s="4"/>
    </row>
    <row r="17" spans="1:6" ht="12.75" customHeight="1" thickBot="1" x14ac:dyDescent="0.25">
      <c r="A17" s="97" t="s">
        <v>27</v>
      </c>
      <c r="B17" s="99"/>
      <c r="C17" s="95">
        <v>1</v>
      </c>
      <c r="D17" s="87"/>
      <c r="E17" s="88"/>
      <c r="F17" s="4"/>
    </row>
    <row r="18" spans="1:6" ht="51.75" thickBot="1" x14ac:dyDescent="0.25">
      <c r="A18" s="97" t="s">
        <v>14</v>
      </c>
      <c r="B18" s="99"/>
      <c r="C18" s="90">
        <f>6*(C9/1000)</f>
        <v>24</v>
      </c>
      <c r="D18" s="87"/>
      <c r="E18" s="88" t="s">
        <v>149</v>
      </c>
      <c r="F18" s="11"/>
    </row>
    <row r="19" spans="1:6" ht="12.75" customHeight="1" thickBot="1" x14ac:dyDescent="0.25">
      <c r="A19" s="120"/>
      <c r="B19" s="12"/>
      <c r="C19" s="26"/>
      <c r="D19" s="12"/>
      <c r="E19" s="13"/>
      <c r="F19" s="11"/>
    </row>
    <row r="20" spans="1:6" ht="39" thickBot="1" x14ac:dyDescent="0.25">
      <c r="A20" s="97" t="s">
        <v>113</v>
      </c>
      <c r="B20" s="99"/>
      <c r="C20" s="95">
        <v>200</v>
      </c>
      <c r="D20" s="87"/>
      <c r="E20" s="88" t="s">
        <v>161</v>
      </c>
      <c r="F20" s="11"/>
    </row>
    <row r="21" spans="1:6" ht="12.75" customHeight="1" x14ac:dyDescent="0.2">
      <c r="A21" s="105" t="s">
        <v>136</v>
      </c>
      <c r="B21" s="113"/>
      <c r="C21" s="117">
        <v>1000</v>
      </c>
      <c r="D21" s="110"/>
      <c r="E21" s="107" t="s">
        <v>129</v>
      </c>
      <c r="F21" s="4"/>
    </row>
    <row r="22" spans="1:6" ht="12.75" customHeight="1" x14ac:dyDescent="0.2">
      <c r="A22" s="12"/>
      <c r="B22" s="114"/>
      <c r="C22" s="118"/>
      <c r="D22" s="111"/>
      <c r="E22" s="108" t="s">
        <v>127</v>
      </c>
      <c r="F22" s="4"/>
    </row>
    <row r="23" spans="1:6" ht="12.75" customHeight="1" thickBot="1" x14ac:dyDescent="0.25">
      <c r="A23" s="115"/>
      <c r="B23" s="116"/>
      <c r="C23" s="119"/>
      <c r="D23" s="112"/>
      <c r="E23" s="109" t="s">
        <v>128</v>
      </c>
      <c r="F23" s="4"/>
    </row>
    <row r="24" spans="1:6" ht="12.75" customHeight="1" thickBot="1" x14ac:dyDescent="0.25">
      <c r="A24" s="6"/>
      <c r="B24" s="6"/>
      <c r="C24" s="27"/>
      <c r="D24" s="6"/>
      <c r="E24" s="15"/>
      <c r="F24" s="4"/>
    </row>
    <row r="25" spans="1:6" ht="12.75" customHeight="1" thickBot="1" x14ac:dyDescent="0.25">
      <c r="A25" s="121" t="s">
        <v>151</v>
      </c>
      <c r="B25" s="122"/>
      <c r="C25" s="123"/>
      <c r="D25" s="124"/>
      <c r="E25" s="125"/>
      <c r="F25" s="4"/>
    </row>
    <row r="26" spans="1:6" ht="12.75" customHeight="1" thickBot="1" x14ac:dyDescent="0.25">
      <c r="A26" s="97" t="s">
        <v>2</v>
      </c>
      <c r="B26" s="120"/>
      <c r="C26" s="138" t="s">
        <v>25</v>
      </c>
      <c r="D26" s="87"/>
      <c r="E26" s="88" t="s">
        <v>152</v>
      </c>
      <c r="F26" s="4"/>
    </row>
    <row r="27" spans="1:6" ht="25.5" customHeight="1" thickBot="1" x14ac:dyDescent="0.25">
      <c r="A27" s="97" t="s">
        <v>34</v>
      </c>
      <c r="B27" s="120"/>
      <c r="C27" s="91">
        <f>D27*C10</f>
        <v>750000</v>
      </c>
      <c r="D27" s="92">
        <v>125</v>
      </c>
      <c r="E27" s="88" t="s">
        <v>209</v>
      </c>
      <c r="F27" s="4"/>
    </row>
    <row r="28" spans="1:6" ht="13.5" thickBot="1" x14ac:dyDescent="0.25">
      <c r="A28" s="97" t="s">
        <v>3</v>
      </c>
      <c r="B28" s="120"/>
      <c r="C28" s="91">
        <f>C10*D28</f>
        <v>660000</v>
      </c>
      <c r="D28" s="92">
        <v>110</v>
      </c>
      <c r="E28" s="88" t="s">
        <v>210</v>
      </c>
      <c r="F28" s="4"/>
    </row>
    <row r="29" spans="1:6" ht="12.75" customHeight="1" thickBot="1" x14ac:dyDescent="0.25">
      <c r="A29" s="97" t="s">
        <v>26</v>
      </c>
      <c r="B29" s="120"/>
      <c r="C29" s="91">
        <f>D29*C9</f>
        <v>160000</v>
      </c>
      <c r="D29" s="92">
        <v>40</v>
      </c>
      <c r="E29" s="88" t="s">
        <v>36</v>
      </c>
      <c r="F29" s="4"/>
    </row>
    <row r="30" spans="1:6" ht="51.75" thickBot="1" x14ac:dyDescent="0.25">
      <c r="A30" s="97" t="s">
        <v>4</v>
      </c>
      <c r="B30" s="120"/>
      <c r="C30" s="91">
        <f>SUM(C27:C29)*D30</f>
        <v>188400</v>
      </c>
      <c r="D30" s="139">
        <v>0.12</v>
      </c>
      <c r="E30" s="88" t="s">
        <v>163</v>
      </c>
      <c r="F30" s="4"/>
    </row>
    <row r="31" spans="1:6" ht="13.5" thickBot="1" x14ac:dyDescent="0.25">
      <c r="A31" s="97" t="s">
        <v>114</v>
      </c>
      <c r="B31" s="120"/>
      <c r="C31" s="140">
        <v>50000</v>
      </c>
      <c r="D31" s="87"/>
      <c r="E31" s="94" t="s">
        <v>158</v>
      </c>
      <c r="F31" s="4"/>
    </row>
    <row r="32" spans="1:6" ht="12.75" customHeight="1" thickBot="1" x14ac:dyDescent="0.25">
      <c r="A32" s="97" t="s">
        <v>115</v>
      </c>
      <c r="B32" s="120"/>
      <c r="C32" s="140">
        <v>15000</v>
      </c>
      <c r="D32" s="87"/>
      <c r="E32" s="88" t="s">
        <v>116</v>
      </c>
      <c r="F32" s="4"/>
    </row>
    <row r="33" spans="1:6" ht="39" thickBot="1" x14ac:dyDescent="0.25">
      <c r="A33" s="97" t="s">
        <v>5</v>
      </c>
      <c r="B33" s="120"/>
      <c r="C33" s="91">
        <f>C12*0.025/4</f>
        <v>12500</v>
      </c>
      <c r="D33" s="87"/>
      <c r="E33" s="88" t="s">
        <v>159</v>
      </c>
      <c r="F33" s="4"/>
    </row>
    <row r="34" spans="1:6" ht="38.25" customHeight="1" thickBot="1" x14ac:dyDescent="0.25">
      <c r="A34" s="97" t="s">
        <v>7</v>
      </c>
      <c r="B34" s="120"/>
      <c r="C34" s="91">
        <f>((0.25*C12)/12)+(D35*1.2)</f>
        <v>125666.66666666666</v>
      </c>
      <c r="D34" s="87"/>
      <c r="E34" s="88" t="s">
        <v>160</v>
      </c>
      <c r="F34" s="4"/>
    </row>
    <row r="35" spans="1:6" ht="26.25" thickBot="1" x14ac:dyDescent="0.25">
      <c r="A35" s="97"/>
      <c r="B35" s="120"/>
      <c r="C35" s="91"/>
      <c r="D35" s="92">
        <v>70000</v>
      </c>
      <c r="E35" s="88" t="s">
        <v>181</v>
      </c>
      <c r="F35" s="4"/>
    </row>
    <row r="36" spans="1:6" ht="25.5" customHeight="1" thickBot="1" x14ac:dyDescent="0.25">
      <c r="A36" s="97" t="s">
        <v>8</v>
      </c>
      <c r="B36" s="120"/>
      <c r="C36" s="92">
        <v>20000</v>
      </c>
      <c r="D36" s="87"/>
      <c r="E36" s="88" t="s">
        <v>28</v>
      </c>
      <c r="F36" s="4"/>
    </row>
    <row r="37" spans="1:6" ht="25.5" customHeight="1" thickBot="1" x14ac:dyDescent="0.25">
      <c r="A37" s="97" t="s">
        <v>9</v>
      </c>
      <c r="B37" s="120"/>
      <c r="C37" s="92">
        <f>1000000*7%*6/12*50%</f>
        <v>17500</v>
      </c>
      <c r="D37" s="87"/>
      <c r="E37" s="88" t="s">
        <v>117</v>
      </c>
      <c r="F37" s="4"/>
    </row>
    <row r="38" spans="1:6" ht="25.5" customHeight="1" thickBot="1" x14ac:dyDescent="0.25">
      <c r="A38" s="97" t="s">
        <v>37</v>
      </c>
      <c r="B38" s="120"/>
      <c r="C38" s="140">
        <v>20000</v>
      </c>
      <c r="D38" s="87"/>
      <c r="E38" s="88" t="s">
        <v>39</v>
      </c>
      <c r="F38" s="4"/>
    </row>
    <row r="39" spans="1:6" ht="42.75" customHeight="1" thickBot="1" x14ac:dyDescent="0.25">
      <c r="A39" s="97" t="s">
        <v>183</v>
      </c>
      <c r="B39" s="99"/>
      <c r="C39" s="92"/>
      <c r="D39" s="87"/>
      <c r="E39" s="88" t="s">
        <v>182</v>
      </c>
      <c r="F39" s="4"/>
    </row>
    <row r="40" spans="1:6" ht="25.5" customHeight="1" thickBot="1" x14ac:dyDescent="0.25">
      <c r="A40" s="97" t="s">
        <v>10</v>
      </c>
      <c r="B40" s="99"/>
      <c r="C40" s="141">
        <f>C12*D40</f>
        <v>200000</v>
      </c>
      <c r="D40" s="142">
        <v>0.1</v>
      </c>
      <c r="E40" s="88" t="s">
        <v>140</v>
      </c>
      <c r="F40" s="4"/>
    </row>
    <row r="41" spans="1:6" ht="12.75" customHeight="1" thickBot="1" x14ac:dyDescent="0.25">
      <c r="A41" s="96" t="s">
        <v>11</v>
      </c>
      <c r="B41" s="135"/>
      <c r="C41" s="143">
        <f>SUM(C26:C40)</f>
        <v>2219066.666666667</v>
      </c>
      <c r="D41" s="86"/>
      <c r="E41" s="144"/>
      <c r="F41" s="4"/>
    </row>
    <row r="42" spans="1:6" ht="25.5" customHeight="1" x14ac:dyDescent="0.2">
      <c r="A42" s="105" t="s">
        <v>12</v>
      </c>
      <c r="B42" s="126"/>
      <c r="C42" s="136">
        <f>C41*D42</f>
        <v>332860.00000000006</v>
      </c>
      <c r="D42" s="172">
        <v>0.15</v>
      </c>
      <c r="E42" s="137" t="s">
        <v>105</v>
      </c>
      <c r="F42" s="4"/>
    </row>
    <row r="43" spans="1:6" ht="25.5" customHeight="1" thickBot="1" x14ac:dyDescent="0.25">
      <c r="A43" s="127"/>
      <c r="B43" s="128"/>
      <c r="C43" s="132"/>
      <c r="D43" s="133"/>
      <c r="E43" s="134" t="s">
        <v>35</v>
      </c>
      <c r="F43" s="4"/>
    </row>
    <row r="44" spans="1:6" ht="12.75" customHeight="1" thickBot="1" x14ac:dyDescent="0.25">
      <c r="A44" s="129" t="s">
        <v>153</v>
      </c>
      <c r="B44" s="130"/>
      <c r="C44" s="131">
        <f>SUM(C41:C42)</f>
        <v>2551926.666666667</v>
      </c>
      <c r="D44" s="29">
        <f>C44/C10</f>
        <v>425.32111111111118</v>
      </c>
      <c r="E44" s="170" t="s">
        <v>118</v>
      </c>
      <c r="F44" s="4"/>
    </row>
    <row r="45" spans="1:6" ht="12.75" customHeight="1" thickBot="1" x14ac:dyDescent="0.25">
      <c r="A45" s="6"/>
      <c r="B45" s="6"/>
      <c r="C45" s="6"/>
      <c r="D45" s="6"/>
      <c r="E45" s="7"/>
    </row>
    <row r="46" spans="1:6" ht="12.75" customHeight="1" thickBot="1" x14ac:dyDescent="0.25">
      <c r="A46" s="121" t="s">
        <v>154</v>
      </c>
      <c r="B46" s="122"/>
      <c r="C46" s="28"/>
      <c r="D46" s="10"/>
      <c r="E46" s="151"/>
      <c r="F46" s="11"/>
    </row>
    <row r="47" spans="1:6" ht="25.5" customHeight="1" thickBot="1" x14ac:dyDescent="0.25">
      <c r="A47" s="97" t="s">
        <v>212</v>
      </c>
      <c r="B47" s="120"/>
      <c r="C47" s="150">
        <v>20000</v>
      </c>
      <c r="D47" s="148"/>
      <c r="E47" s="149" t="s">
        <v>80</v>
      </c>
      <c r="F47" s="4"/>
    </row>
    <row r="48" spans="1:6" ht="12.75" customHeight="1" thickBot="1" x14ac:dyDescent="0.25">
      <c r="A48" s="97" t="s">
        <v>30</v>
      </c>
      <c r="B48" s="120"/>
      <c r="C48" s="150">
        <v>30000</v>
      </c>
      <c r="D48" s="148"/>
      <c r="E48" s="149" t="s">
        <v>211</v>
      </c>
      <c r="F48" s="4"/>
    </row>
    <row r="49" spans="1:6" ht="51.75" thickBot="1" x14ac:dyDescent="0.25">
      <c r="A49" s="97" t="s">
        <v>31</v>
      </c>
      <c r="B49" s="120"/>
      <c r="C49" s="152">
        <f>C21*C20</f>
        <v>200000</v>
      </c>
      <c r="D49" s="148"/>
      <c r="E49" s="149" t="s">
        <v>178</v>
      </c>
      <c r="F49" s="4"/>
    </row>
    <row r="50" spans="1:6" ht="39" thickBot="1" x14ac:dyDescent="0.25">
      <c r="A50" s="97" t="s">
        <v>119</v>
      </c>
      <c r="B50" s="120"/>
      <c r="C50" s="150">
        <v>500000</v>
      </c>
      <c r="D50" s="148"/>
      <c r="E50" s="149" t="s">
        <v>213</v>
      </c>
      <c r="F50" s="4"/>
    </row>
    <row r="51" spans="1:6" ht="51.75" thickBot="1" x14ac:dyDescent="0.25">
      <c r="A51" s="105" t="s">
        <v>15</v>
      </c>
      <c r="B51" s="106"/>
      <c r="C51" s="146">
        <v>500000</v>
      </c>
      <c r="D51" s="147"/>
      <c r="E51" s="137" t="s">
        <v>214</v>
      </c>
      <c r="F51" s="4"/>
    </row>
    <row r="52" spans="1:6" ht="25.5" customHeight="1" thickBot="1" x14ac:dyDescent="0.25">
      <c r="A52" s="97" t="s">
        <v>135</v>
      </c>
      <c r="B52" s="120"/>
      <c r="C52" s="173"/>
      <c r="D52" s="148"/>
      <c r="E52" s="149"/>
      <c r="F52" s="4"/>
    </row>
    <row r="53" spans="1:6" ht="25.5" customHeight="1" thickBot="1" x14ac:dyDescent="0.25">
      <c r="A53" s="97" t="s">
        <v>32</v>
      </c>
      <c r="B53" s="120"/>
      <c r="C53" s="173"/>
      <c r="D53" s="148"/>
      <c r="E53" s="149" t="s">
        <v>120</v>
      </c>
      <c r="F53" s="4"/>
    </row>
    <row r="54" spans="1:6" ht="25.5" customHeight="1" thickBot="1" x14ac:dyDescent="0.25">
      <c r="A54" s="97" t="s">
        <v>16</v>
      </c>
      <c r="B54" s="120"/>
      <c r="C54" s="153">
        <f>SUM(C47:C53)</f>
        <v>1250000</v>
      </c>
      <c r="D54" s="174">
        <f>C54/C44</f>
        <v>0.48982598768512153</v>
      </c>
      <c r="E54" s="149" t="s">
        <v>121</v>
      </c>
      <c r="F54" s="11"/>
    </row>
    <row r="55" spans="1:6" ht="12.75" customHeight="1" thickBot="1" x14ac:dyDescent="0.25">
      <c r="A55" s="120"/>
      <c r="B55" s="12"/>
      <c r="C55" s="26"/>
      <c r="D55" s="12"/>
      <c r="E55" s="169"/>
      <c r="F55" s="4"/>
    </row>
    <row r="56" spans="1:6" ht="12.75" customHeight="1" thickBot="1" x14ac:dyDescent="0.25">
      <c r="A56" s="105" t="s">
        <v>162</v>
      </c>
      <c r="B56" s="106"/>
      <c r="C56" s="87"/>
      <c r="D56" s="156"/>
      <c r="E56" s="157">
        <v>20</v>
      </c>
      <c r="F56" s="4"/>
    </row>
    <row r="57" spans="1:6" ht="38.25" customHeight="1" thickBot="1" x14ac:dyDescent="0.25">
      <c r="A57" s="127" t="s">
        <v>17</v>
      </c>
      <c r="B57" s="145"/>
      <c r="C57" s="100">
        <f>E56*C10</f>
        <v>120000</v>
      </c>
      <c r="D57" s="87"/>
      <c r="E57" s="88" t="s">
        <v>215</v>
      </c>
      <c r="F57" s="4"/>
    </row>
    <row r="58" spans="1:6" ht="51.75" thickBot="1" x14ac:dyDescent="0.25">
      <c r="A58" s="97" t="s">
        <v>206</v>
      </c>
      <c r="B58" s="120"/>
      <c r="C58" s="158">
        <f>D58*C29</f>
        <v>24000</v>
      </c>
      <c r="D58" s="139">
        <v>0.15</v>
      </c>
      <c r="E58" s="88" t="s">
        <v>170</v>
      </c>
      <c r="F58" s="4"/>
    </row>
    <row r="59" spans="1:6" ht="25.5" customHeight="1" thickBot="1" x14ac:dyDescent="0.25">
      <c r="A59" s="97" t="s">
        <v>18</v>
      </c>
      <c r="B59" s="120"/>
      <c r="C59" s="91">
        <f>D59*C29</f>
        <v>16000</v>
      </c>
      <c r="D59" s="139">
        <v>0.1</v>
      </c>
      <c r="E59" s="88" t="s">
        <v>122</v>
      </c>
      <c r="F59" s="4"/>
    </row>
    <row r="60" spans="1:6" ht="51" customHeight="1" thickBot="1" x14ac:dyDescent="0.25">
      <c r="A60" s="97" t="s">
        <v>19</v>
      </c>
      <c r="B60" s="120"/>
      <c r="C60" s="92">
        <v>150000</v>
      </c>
      <c r="D60" s="87"/>
      <c r="E60" s="88" t="s">
        <v>123</v>
      </c>
      <c r="F60" s="4"/>
    </row>
    <row r="61" spans="1:6" ht="51.75" thickBot="1" x14ac:dyDescent="0.25">
      <c r="A61" s="97" t="s">
        <v>124</v>
      </c>
      <c r="B61" s="120"/>
      <c r="C61" s="159">
        <v>100000</v>
      </c>
      <c r="D61" s="87"/>
      <c r="E61" s="88" t="s">
        <v>216</v>
      </c>
      <c r="F61" s="4"/>
    </row>
    <row r="62" spans="1:6" ht="25.5" customHeight="1" thickBot="1" x14ac:dyDescent="0.25">
      <c r="A62" s="96" t="s">
        <v>20</v>
      </c>
      <c r="B62" s="135"/>
      <c r="C62" s="143">
        <f>SUM(C57:C61)</f>
        <v>410000</v>
      </c>
      <c r="D62" s="160">
        <f>C62/C44</f>
        <v>0.16066292396071985</v>
      </c>
      <c r="E62" s="88" t="s">
        <v>125</v>
      </c>
      <c r="F62" s="4"/>
    </row>
    <row r="63" spans="1:6" ht="12.75" customHeight="1" thickBot="1" x14ac:dyDescent="0.25">
      <c r="A63" s="106"/>
      <c r="B63" s="12"/>
      <c r="C63" s="26"/>
      <c r="D63" s="12"/>
      <c r="E63" s="168"/>
      <c r="F63" s="4"/>
    </row>
    <row r="64" spans="1:6" ht="39.75" thickTop="1" thickBot="1" x14ac:dyDescent="0.25">
      <c r="A64" s="154" t="s">
        <v>21</v>
      </c>
      <c r="B64" s="155"/>
      <c r="C64" s="162">
        <f>C44-C54-C62</f>
        <v>891926.66666666698</v>
      </c>
      <c r="D64" s="163">
        <f>C64/C44</f>
        <v>0.34951108835415862</v>
      </c>
      <c r="E64" s="164" t="s">
        <v>142</v>
      </c>
      <c r="F64" s="4"/>
    </row>
    <row r="65" spans="1:11" ht="12.75" customHeight="1" thickBot="1" x14ac:dyDescent="0.25">
      <c r="A65" s="129" t="s">
        <v>155</v>
      </c>
      <c r="B65" s="161"/>
      <c r="C65" s="165">
        <f>C54+C62+C64</f>
        <v>2551926.666666667</v>
      </c>
      <c r="D65" s="166">
        <f>SUM(D54,D62,D64)</f>
        <v>1</v>
      </c>
      <c r="E65" s="167"/>
      <c r="F65" s="4"/>
    </row>
    <row r="67" spans="1:11" ht="13.5" thickBot="1" x14ac:dyDescent="0.25"/>
    <row r="68" spans="1:11" x14ac:dyDescent="0.2">
      <c r="A68" s="18" t="s">
        <v>104</v>
      </c>
      <c r="B68" s="25"/>
      <c r="C68" s="19"/>
      <c r="D68" s="19"/>
      <c r="E68" s="20"/>
      <c r="F68" s="11"/>
      <c r="G68" s="4"/>
      <c r="H68" s="4"/>
      <c r="I68" s="4"/>
      <c r="J68" s="4"/>
      <c r="K68" s="4"/>
    </row>
    <row r="69" spans="1:11" x14ac:dyDescent="0.2">
      <c r="A69" s="21" t="s">
        <v>217</v>
      </c>
      <c r="B69" s="176"/>
      <c r="C69" s="22"/>
      <c r="D69" s="22"/>
      <c r="E69" s="14"/>
      <c r="F69" s="11"/>
      <c r="G69" s="4"/>
      <c r="H69" s="4"/>
      <c r="I69" s="4"/>
      <c r="J69" s="4"/>
      <c r="K69" s="4"/>
    </row>
    <row r="70" spans="1:11" x14ac:dyDescent="0.2">
      <c r="A70" s="21" t="s">
        <v>189</v>
      </c>
      <c r="B70" s="176"/>
      <c r="C70" s="22"/>
      <c r="D70" s="22"/>
      <c r="E70" s="14"/>
      <c r="F70" s="11"/>
      <c r="G70" s="4"/>
      <c r="H70" s="4"/>
      <c r="I70" s="4"/>
      <c r="J70" s="4"/>
      <c r="K70" s="4"/>
    </row>
    <row r="71" spans="1:11" x14ac:dyDescent="0.2">
      <c r="A71" s="175"/>
      <c r="B71" s="176"/>
      <c r="C71" s="177"/>
      <c r="D71" s="177"/>
      <c r="E71" s="14"/>
      <c r="F71" s="11"/>
      <c r="G71" s="4"/>
      <c r="H71" s="4"/>
      <c r="I71" s="4"/>
      <c r="J71" s="4"/>
      <c r="K71" s="4"/>
    </row>
    <row r="72" spans="1:11" x14ac:dyDescent="0.2">
      <c r="A72" s="175" t="s">
        <v>157</v>
      </c>
      <c r="B72" s="176"/>
      <c r="C72" s="182" t="s">
        <v>184</v>
      </c>
      <c r="D72" s="182" t="s">
        <v>185</v>
      </c>
      <c r="E72" s="14"/>
      <c r="F72" s="11"/>
      <c r="G72" s="4"/>
      <c r="H72" s="4"/>
      <c r="I72" s="4"/>
      <c r="J72" s="4"/>
      <c r="K72" s="4"/>
    </row>
    <row r="73" spans="1:11" x14ac:dyDescent="0.2">
      <c r="A73" s="175"/>
      <c r="B73" s="22" t="s">
        <v>187</v>
      </c>
      <c r="C73" s="179">
        <f>0*(C28+(0.5*C42))</f>
        <v>0</v>
      </c>
      <c r="D73" s="180">
        <f>0.7*(C28+(0.5*C42))</f>
        <v>578501</v>
      </c>
      <c r="E73" s="14" t="s">
        <v>186</v>
      </c>
      <c r="F73" s="11"/>
      <c r="G73" s="4"/>
      <c r="H73" s="4"/>
      <c r="I73" s="4"/>
      <c r="J73" s="4"/>
      <c r="K73" s="4"/>
    </row>
    <row r="74" spans="1:11" x14ac:dyDescent="0.2">
      <c r="A74" s="175"/>
      <c r="B74" s="22" t="s">
        <v>188</v>
      </c>
      <c r="C74" s="179">
        <f>0*(C27+(0.5*C42))</f>
        <v>0</v>
      </c>
      <c r="D74" s="178">
        <f>25%*(C27+(0.5*C42))</f>
        <v>229107.5</v>
      </c>
      <c r="E74" s="14" t="s">
        <v>218</v>
      </c>
      <c r="F74" s="11"/>
      <c r="G74" s="4"/>
      <c r="H74" s="4"/>
      <c r="I74" s="4"/>
      <c r="J74" s="4"/>
      <c r="K74" s="4"/>
    </row>
    <row r="75" spans="1:11" x14ac:dyDescent="0.2">
      <c r="A75" s="21"/>
      <c r="B75" s="22" t="s">
        <v>26</v>
      </c>
      <c r="C75" s="181">
        <f>0*C29</f>
        <v>0</v>
      </c>
      <c r="D75" s="181">
        <f>25%*C29</f>
        <v>40000</v>
      </c>
      <c r="E75" s="14" t="s">
        <v>218</v>
      </c>
      <c r="F75" s="11"/>
      <c r="G75" s="4"/>
      <c r="H75" s="4"/>
      <c r="I75" s="4"/>
      <c r="J75" s="4"/>
      <c r="K75" s="4"/>
    </row>
    <row r="76" spans="1:11" x14ac:dyDescent="0.2">
      <c r="A76" s="21"/>
      <c r="B76" s="22" t="s">
        <v>190</v>
      </c>
      <c r="C76" s="179">
        <f>SUM(C73:C75)</f>
        <v>0</v>
      </c>
      <c r="D76" s="179">
        <f>SUM(D73:D75)</f>
        <v>847608.5</v>
      </c>
      <c r="E76" s="14"/>
      <c r="F76" s="11"/>
      <c r="G76" s="4"/>
      <c r="H76" s="4"/>
      <c r="I76" s="4"/>
      <c r="J76" s="4"/>
      <c r="K76" s="4"/>
    </row>
    <row r="77" spans="1:11" x14ac:dyDescent="0.2">
      <c r="A77" s="21"/>
      <c r="B77" s="22"/>
      <c r="C77" s="5"/>
      <c r="D77" s="22"/>
      <c r="E77" s="14"/>
      <c r="F77" s="11"/>
      <c r="G77" s="4"/>
      <c r="H77" s="4"/>
      <c r="I77" s="4"/>
      <c r="J77" s="4"/>
      <c r="K77" s="4"/>
    </row>
    <row r="78" spans="1:11" x14ac:dyDescent="0.2">
      <c r="A78" s="21" t="s">
        <v>102</v>
      </c>
      <c r="B78" s="22"/>
      <c r="C78" s="22"/>
      <c r="D78" s="22"/>
      <c r="E78" s="14"/>
      <c r="F78" s="11"/>
      <c r="G78" s="4"/>
      <c r="H78" s="4"/>
      <c r="I78" s="4"/>
      <c r="J78" s="4"/>
      <c r="K78" s="4"/>
    </row>
    <row r="79" spans="1:11" x14ac:dyDescent="0.2">
      <c r="A79" s="22" t="s">
        <v>106</v>
      </c>
      <c r="B79" s="22"/>
      <c r="C79" s="22"/>
      <c r="D79" s="22"/>
      <c r="E79" s="14"/>
      <c r="F79" s="11"/>
      <c r="G79" s="4"/>
      <c r="H79" s="4"/>
      <c r="I79" s="4"/>
      <c r="J79" s="4"/>
      <c r="K79" s="4"/>
    </row>
    <row r="80" spans="1:11" ht="13.5" thickBot="1" x14ac:dyDescent="0.25">
      <c r="A80" s="23" t="s">
        <v>137</v>
      </c>
      <c r="B80" s="24"/>
      <c r="C80" s="24"/>
      <c r="D80" s="24"/>
      <c r="E80" s="15"/>
      <c r="F80" s="11"/>
      <c r="G80" s="4"/>
      <c r="H80" s="4"/>
      <c r="I80" s="4"/>
      <c r="J80" s="4"/>
      <c r="K80" s="4"/>
    </row>
  </sheetData>
  <phoneticPr fontId="2" type="noConversion"/>
  <pageMargins left="0.39" right="0.27"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6"/>
  <sheetViews>
    <sheetView workbookViewId="0">
      <selection activeCell="K15" sqref="K15"/>
    </sheetView>
  </sheetViews>
  <sheetFormatPr defaultColWidth="9.140625" defaultRowHeight="12.75" x14ac:dyDescent="0.2"/>
  <cols>
    <col min="1" max="1" width="31.7109375" style="5" bestFit="1" customWidth="1"/>
    <col min="2" max="2" width="11.42578125" style="5" customWidth="1"/>
    <col min="3" max="3" width="11" style="5" bestFit="1" customWidth="1"/>
    <col min="4" max="6" width="9.140625" style="5"/>
    <col min="7" max="7" width="12.7109375" style="5" customWidth="1"/>
    <col min="8" max="16384" width="9.140625" style="5"/>
  </cols>
  <sheetData>
    <row r="1" spans="1:11" ht="27.75" customHeight="1" x14ac:dyDescent="0.2">
      <c r="A1" s="239" t="s">
        <v>147</v>
      </c>
      <c r="B1" s="239"/>
      <c r="C1" s="239"/>
      <c r="D1" s="239"/>
      <c r="E1" s="239"/>
      <c r="F1" s="239"/>
      <c r="G1" s="239"/>
      <c r="H1" s="30"/>
      <c r="I1" s="30"/>
      <c r="J1" s="30"/>
      <c r="K1" s="30"/>
    </row>
    <row r="2" spans="1:11" x14ac:dyDescent="0.2">
      <c r="A2" s="84"/>
      <c r="B2" s="84"/>
      <c r="C2" s="84"/>
      <c r="D2" s="84"/>
      <c r="E2" s="84"/>
      <c r="F2" s="84"/>
      <c r="G2" s="84"/>
      <c r="H2" s="30"/>
      <c r="I2" s="30"/>
      <c r="J2" s="30"/>
      <c r="K2" s="30"/>
    </row>
    <row r="3" spans="1:11" x14ac:dyDescent="0.2">
      <c r="A3" s="85" t="s">
        <v>174</v>
      </c>
      <c r="B3" s="84"/>
      <c r="C3" s="84"/>
      <c r="D3" s="84"/>
      <c r="E3" s="84"/>
      <c r="F3" s="84"/>
      <c r="G3" s="84"/>
      <c r="H3" s="30"/>
      <c r="I3" s="30"/>
      <c r="J3" s="30"/>
      <c r="K3" s="30"/>
    </row>
    <row r="4" spans="1:11" x14ac:dyDescent="0.2">
      <c r="A4" s="5" t="s">
        <v>177</v>
      </c>
    </row>
    <row r="6" spans="1:11" x14ac:dyDescent="0.2">
      <c r="A6" s="5" t="s">
        <v>34</v>
      </c>
      <c r="C6" s="33">
        <f>'Sources &amp; Uses Overall'!C27</f>
        <v>750000</v>
      </c>
    </row>
    <row r="7" spans="1:11" x14ac:dyDescent="0.2">
      <c r="A7" s="5" t="s">
        <v>3</v>
      </c>
      <c r="C7" s="33">
        <f>'Sources &amp; Uses Overall'!C28</f>
        <v>660000</v>
      </c>
    </row>
    <row r="8" spans="1:11" x14ac:dyDescent="0.2">
      <c r="A8" s="5" t="s">
        <v>26</v>
      </c>
      <c r="C8" s="33">
        <f>'Sources &amp; Uses Overall'!C29</f>
        <v>160000</v>
      </c>
    </row>
    <row r="9" spans="1:11" ht="38.25" customHeight="1" x14ac:dyDescent="0.2">
      <c r="A9" s="5" t="s">
        <v>56</v>
      </c>
      <c r="D9" s="240" t="s">
        <v>175</v>
      </c>
      <c r="E9" s="240"/>
      <c r="F9" s="240"/>
      <c r="G9" s="240"/>
      <c r="H9" s="36"/>
    </row>
    <row r="10" spans="1:11" x14ac:dyDescent="0.2">
      <c r="A10" s="5" t="s">
        <v>58</v>
      </c>
      <c r="B10" s="33">
        <f>D10*'Sources &amp; Uses Overall'!$C$30</f>
        <v>26376.000000000004</v>
      </c>
      <c r="D10" s="183">
        <v>0.14000000000000001</v>
      </c>
    </row>
    <row r="11" spans="1:11" x14ac:dyDescent="0.2">
      <c r="A11" s="5" t="s">
        <v>57</v>
      </c>
      <c r="B11" s="33">
        <f>D11*'Sources &amp; Uses Overall'!$C$30</f>
        <v>11304</v>
      </c>
      <c r="D11" s="183">
        <v>0.06</v>
      </c>
    </row>
    <row r="12" spans="1:11" x14ac:dyDescent="0.2">
      <c r="A12" s="5" t="s">
        <v>130</v>
      </c>
      <c r="B12" s="33">
        <f>D12*'Sources &amp; Uses Overall'!$C$30</f>
        <v>9420</v>
      </c>
      <c r="D12" s="183">
        <v>0.05</v>
      </c>
    </row>
    <row r="13" spans="1:11" x14ac:dyDescent="0.2">
      <c r="A13" s="5" t="s">
        <v>59</v>
      </c>
      <c r="B13" s="33">
        <f>D13*'Sources &amp; Uses Overall'!$C$30</f>
        <v>5652</v>
      </c>
      <c r="D13" s="183">
        <v>0.03</v>
      </c>
    </row>
    <row r="14" spans="1:11" x14ac:dyDescent="0.2">
      <c r="A14" s="5" t="s">
        <v>60</v>
      </c>
      <c r="B14" s="33">
        <f>D14*'Sources &amp; Uses Overall'!$C$30</f>
        <v>5652</v>
      </c>
      <c r="D14" s="183">
        <v>0.03</v>
      </c>
    </row>
    <row r="15" spans="1:11" x14ac:dyDescent="0.2">
      <c r="A15" s="5" t="s">
        <v>86</v>
      </c>
      <c r="B15" s="33">
        <f>D15*'Sources &amp; Uses Overall'!$C$30</f>
        <v>47100</v>
      </c>
      <c r="D15" s="183">
        <v>0.25</v>
      </c>
    </row>
    <row r="16" spans="1:11" x14ac:dyDescent="0.2">
      <c r="A16" s="5" t="s">
        <v>61</v>
      </c>
      <c r="B16" s="33">
        <f>D16*'Sources &amp; Uses Overall'!$C$30</f>
        <v>12246</v>
      </c>
      <c r="D16" s="183">
        <v>6.5000000000000002E-2</v>
      </c>
    </row>
    <row r="17" spans="1:4" x14ac:dyDescent="0.2">
      <c r="A17" s="5" t="s">
        <v>62</v>
      </c>
      <c r="B17" s="33">
        <f>D17*'Sources &amp; Uses Overall'!$C$30</f>
        <v>9420</v>
      </c>
      <c r="D17" s="183">
        <v>0.05</v>
      </c>
    </row>
    <row r="18" spans="1:4" x14ac:dyDescent="0.2">
      <c r="A18" s="5" t="s">
        <v>141</v>
      </c>
      <c r="B18" s="33">
        <f>D18*'Sources &amp; Uses Overall'!$C$30</f>
        <v>23550</v>
      </c>
      <c r="D18" s="183">
        <v>0.125</v>
      </c>
    </row>
    <row r="19" spans="1:4" x14ac:dyDescent="0.2">
      <c r="A19" s="5" t="s">
        <v>63</v>
      </c>
      <c r="B19" s="33"/>
      <c r="D19" s="31"/>
    </row>
    <row r="20" spans="1:4" x14ac:dyDescent="0.2">
      <c r="A20" s="5" t="s">
        <v>64</v>
      </c>
      <c r="B20" s="33">
        <f>D20*'Sources &amp; Uses Overall'!$C$30</f>
        <v>942</v>
      </c>
      <c r="D20" s="183">
        <v>5.0000000000000001E-3</v>
      </c>
    </row>
    <row r="21" spans="1:4" x14ac:dyDescent="0.2">
      <c r="A21" s="5" t="s">
        <v>65</v>
      </c>
      <c r="B21" s="33">
        <f>D21*'Sources &amp; Uses Overall'!$C$30</f>
        <v>2826</v>
      </c>
      <c r="D21" s="183">
        <v>1.4999999999999999E-2</v>
      </c>
    </row>
    <row r="22" spans="1:4" x14ac:dyDescent="0.2">
      <c r="A22" s="5" t="s">
        <v>132</v>
      </c>
      <c r="B22" s="33">
        <f>D22*'Sources &amp; Uses Overall'!$C$30</f>
        <v>5652</v>
      </c>
      <c r="D22" s="183">
        <v>0.03</v>
      </c>
    </row>
    <row r="23" spans="1:4" x14ac:dyDescent="0.2">
      <c r="A23" s="5" t="s">
        <v>101</v>
      </c>
      <c r="B23" s="33">
        <f>D23*'Sources &amp; Uses Overall'!$C$30</f>
        <v>1884</v>
      </c>
      <c r="D23" s="183">
        <v>0.01</v>
      </c>
    </row>
    <row r="24" spans="1:4" x14ac:dyDescent="0.2">
      <c r="A24" s="5" t="s">
        <v>66</v>
      </c>
      <c r="B24" s="33">
        <f>D24*'Sources &amp; Uses Overall'!$C$30</f>
        <v>6594.0000000000009</v>
      </c>
      <c r="D24" s="183">
        <v>3.5000000000000003E-2</v>
      </c>
    </row>
    <row r="25" spans="1:4" x14ac:dyDescent="0.2">
      <c r="A25" s="5" t="s">
        <v>93</v>
      </c>
      <c r="B25" s="33">
        <f>D25*'Sources &amp; Uses Overall'!$C$30</f>
        <v>3768</v>
      </c>
      <c r="D25" s="183">
        <v>0.02</v>
      </c>
    </row>
    <row r="26" spans="1:4" x14ac:dyDescent="0.2">
      <c r="A26" s="5" t="s">
        <v>94</v>
      </c>
      <c r="B26" s="33">
        <f>D26*'Sources &amp; Uses Overall'!$C$30</f>
        <v>2826</v>
      </c>
      <c r="D26" s="183">
        <v>1.4999999999999999E-2</v>
      </c>
    </row>
    <row r="27" spans="1:4" x14ac:dyDescent="0.2">
      <c r="A27" s="5" t="s">
        <v>67</v>
      </c>
      <c r="B27" s="33">
        <f>D27*'Sources &amp; Uses Overall'!$C$30</f>
        <v>5652</v>
      </c>
      <c r="D27" s="183">
        <v>0.03</v>
      </c>
    </row>
    <row r="28" spans="1:4" x14ac:dyDescent="0.2">
      <c r="A28" s="5" t="s">
        <v>68</v>
      </c>
      <c r="B28" s="35">
        <f>D28*'Sources &amp; Uses Overall'!$C$30</f>
        <v>7536</v>
      </c>
      <c r="D28" s="184">
        <v>0.04</v>
      </c>
    </row>
    <row r="29" spans="1:4" x14ac:dyDescent="0.2">
      <c r="A29" s="5" t="s">
        <v>164</v>
      </c>
      <c r="C29" s="34">
        <f>SUM(B10:B28)</f>
        <v>188400</v>
      </c>
      <c r="D29" s="31">
        <f>SUM(D10:D28)</f>
        <v>1.0000000000000002</v>
      </c>
    </row>
    <row r="30" spans="1:4" x14ac:dyDescent="0.2">
      <c r="A30" s="5" t="s">
        <v>114</v>
      </c>
      <c r="C30" s="33">
        <f>'Sources &amp; Uses Overall'!C31</f>
        <v>50000</v>
      </c>
    </row>
    <row r="31" spans="1:4" x14ac:dyDescent="0.2">
      <c r="A31" s="5" t="s">
        <v>115</v>
      </c>
      <c r="C31" s="33">
        <f>'Sources &amp; Uses Overall'!C32</f>
        <v>15000</v>
      </c>
    </row>
    <row r="32" spans="1:4" x14ac:dyDescent="0.2">
      <c r="A32" s="5" t="s">
        <v>69</v>
      </c>
      <c r="C32" s="33">
        <f>'Sources &amp; Uses Overall'!C33</f>
        <v>12500</v>
      </c>
    </row>
    <row r="33" spans="1:7" x14ac:dyDescent="0.2">
      <c r="A33" s="5" t="s">
        <v>70</v>
      </c>
      <c r="C33" s="33">
        <f>'Sources &amp; Uses Overall'!C34</f>
        <v>125666.66666666666</v>
      </c>
    </row>
    <row r="34" spans="1:7" ht="40.5" customHeight="1" x14ac:dyDescent="0.2">
      <c r="A34" s="5" t="s">
        <v>8</v>
      </c>
      <c r="D34" s="240" t="s">
        <v>176</v>
      </c>
      <c r="E34" s="240"/>
      <c r="F34" s="240"/>
      <c r="G34" s="240"/>
    </row>
    <row r="35" spans="1:7" x14ac:dyDescent="0.2">
      <c r="A35" s="5" t="s">
        <v>71</v>
      </c>
      <c r="B35" s="33">
        <f>D35*'Sources &amp; Uses Overall'!$C$36</f>
        <v>6000</v>
      </c>
      <c r="D35" s="185">
        <v>0.3</v>
      </c>
    </row>
    <row r="36" spans="1:7" x14ac:dyDescent="0.2">
      <c r="A36" s="5" t="s">
        <v>95</v>
      </c>
      <c r="B36" s="33">
        <f>D36*'Sources &amp; Uses Overall'!$C$36</f>
        <v>6000</v>
      </c>
      <c r="D36" s="185">
        <v>0.3</v>
      </c>
    </row>
    <row r="37" spans="1:7" x14ac:dyDescent="0.2">
      <c r="A37" s="5" t="s">
        <v>72</v>
      </c>
      <c r="B37" s="33">
        <f>D37*'Sources &amp; Uses Overall'!$C$36</f>
        <v>2000</v>
      </c>
      <c r="D37" s="185">
        <v>0.1</v>
      </c>
    </row>
    <row r="38" spans="1:7" x14ac:dyDescent="0.2">
      <c r="A38" s="5" t="s">
        <v>73</v>
      </c>
      <c r="B38" s="35">
        <f>D38*'Sources &amp; Uses Overall'!$C$36</f>
        <v>6000</v>
      </c>
      <c r="D38" s="186">
        <v>0.3</v>
      </c>
    </row>
    <row r="39" spans="1:7" x14ac:dyDescent="0.2">
      <c r="A39" s="5" t="s">
        <v>165</v>
      </c>
      <c r="C39" s="33">
        <f>SUM(B35:B38)</f>
        <v>20000</v>
      </c>
      <c r="D39" s="32">
        <f>SUM(D35:D38)</f>
        <v>1</v>
      </c>
    </row>
    <row r="40" spans="1:7" x14ac:dyDescent="0.2">
      <c r="A40" s="5" t="s">
        <v>74</v>
      </c>
      <c r="C40" s="33">
        <f>'Sources &amp; Uses Overall'!C37</f>
        <v>17500</v>
      </c>
    </row>
    <row r="41" spans="1:7" x14ac:dyDescent="0.2">
      <c r="A41" s="5" t="s">
        <v>75</v>
      </c>
      <c r="C41" s="33">
        <f>'Sources &amp; Uses Overall'!C38</f>
        <v>20000</v>
      </c>
    </row>
    <row r="42" spans="1:7" x14ac:dyDescent="0.2">
      <c r="A42" s="5" t="s">
        <v>166</v>
      </c>
      <c r="C42" s="33">
        <f>'Sources &amp; Uses Overall'!C39</f>
        <v>0</v>
      </c>
    </row>
    <row r="43" spans="1:7" x14ac:dyDescent="0.2">
      <c r="A43" s="5" t="s">
        <v>76</v>
      </c>
      <c r="C43" s="33">
        <f>'Sources &amp; Uses Overall'!C40</f>
        <v>200000</v>
      </c>
    </row>
    <row r="44" spans="1:7" x14ac:dyDescent="0.2">
      <c r="A44" s="5" t="s">
        <v>77</v>
      </c>
      <c r="C44" s="33">
        <f>'Sources &amp; Uses Overall'!C42</f>
        <v>332860.00000000006</v>
      </c>
    </row>
    <row r="45" spans="1:7" x14ac:dyDescent="0.2">
      <c r="B45" s="33"/>
    </row>
    <row r="46" spans="1:7" x14ac:dyDescent="0.2">
      <c r="A46" s="5" t="s">
        <v>192</v>
      </c>
      <c r="B46" s="33"/>
      <c r="C46" s="34">
        <f>SUM(C6:C45)</f>
        <v>2551926.666666667</v>
      </c>
    </row>
  </sheetData>
  <mergeCells count="3">
    <mergeCell ref="A1:G1"/>
    <mergeCell ref="D9:G9"/>
    <mergeCell ref="D34:G34"/>
  </mergeCells>
  <pageMargins left="0.51" right="0.4"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9"/>
  <sheetViews>
    <sheetView zoomScaleNormal="100" workbookViewId="0">
      <pane xSplit="1" ySplit="5" topLeftCell="B57" activePane="bottomRight" state="frozen"/>
      <selection pane="topRight" activeCell="B1" sqref="B1"/>
      <selection pane="bottomLeft" activeCell="A4" sqref="A4"/>
      <selection pane="bottomRight" activeCell="A60" sqref="A60"/>
    </sheetView>
  </sheetViews>
  <sheetFormatPr defaultColWidth="8.7109375" defaultRowHeight="12" x14ac:dyDescent="0.2"/>
  <cols>
    <col min="1" max="1" width="33.28515625" style="37" customWidth="1"/>
    <col min="2" max="2" width="11.42578125" style="37" customWidth="1"/>
    <col min="3" max="3" width="11.140625" style="50" bestFit="1" customWidth="1"/>
    <col min="4" max="4" width="12.42578125" style="66" customWidth="1"/>
    <col min="5" max="5" width="13" style="39" customWidth="1"/>
    <col min="6" max="6" width="13.28515625" style="66" bestFit="1" customWidth="1"/>
    <col min="7" max="7" width="15" style="66" bestFit="1" customWidth="1"/>
    <col min="8" max="8" width="13.7109375" style="66" bestFit="1" customWidth="1"/>
    <col min="9" max="9" width="13.28515625" style="70" bestFit="1" customWidth="1"/>
    <col min="10" max="10" width="11.5703125" style="50" bestFit="1" customWidth="1"/>
    <col min="11" max="11" width="7.5703125" style="39" bestFit="1" customWidth="1"/>
    <col min="12" max="12" width="10.7109375" style="37" customWidth="1"/>
    <col min="13" max="16384" width="8.7109375" style="37"/>
  </cols>
  <sheetData>
    <row r="1" spans="1:13" x14ac:dyDescent="0.2">
      <c r="A1" s="40" t="s">
        <v>173</v>
      </c>
      <c r="B1" s="37" t="s">
        <v>179</v>
      </c>
    </row>
    <row r="2" spans="1:13" x14ac:dyDescent="0.2">
      <c r="B2" s="40"/>
      <c r="C2" s="41" t="s">
        <v>40</v>
      </c>
      <c r="D2" s="42" t="s">
        <v>41</v>
      </c>
      <c r="E2" s="43" t="s">
        <v>42</v>
      </c>
      <c r="F2" s="44" t="s">
        <v>43</v>
      </c>
      <c r="G2" s="42" t="s">
        <v>44</v>
      </c>
      <c r="H2" s="45" t="s">
        <v>45</v>
      </c>
      <c r="I2" s="46" t="s">
        <v>50</v>
      </c>
      <c r="J2" s="41" t="s">
        <v>54</v>
      </c>
      <c r="K2" s="47"/>
      <c r="L2" s="48"/>
    </row>
    <row r="3" spans="1:13" x14ac:dyDescent="0.2">
      <c r="A3" s="40"/>
      <c r="B3" s="49" t="s">
        <v>54</v>
      </c>
      <c r="C3" s="41" t="s">
        <v>46</v>
      </c>
      <c r="D3" s="218" t="s">
        <v>53</v>
      </c>
      <c r="E3" s="219" t="s">
        <v>48</v>
      </c>
      <c r="F3" s="44" t="s">
        <v>52</v>
      </c>
      <c r="G3" s="42" t="s">
        <v>52</v>
      </c>
      <c r="H3" s="45" t="s">
        <v>52</v>
      </c>
      <c r="I3" s="46" t="s">
        <v>52</v>
      </c>
      <c r="K3" s="51"/>
    </row>
    <row r="4" spans="1:13" x14ac:dyDescent="0.2">
      <c r="A4" s="37" t="s">
        <v>201</v>
      </c>
      <c r="B4" s="49" t="s">
        <v>167</v>
      </c>
      <c r="C4" s="52" t="s">
        <v>46</v>
      </c>
      <c r="D4" s="53" t="s">
        <v>47</v>
      </c>
      <c r="E4" s="54" t="s">
        <v>48</v>
      </c>
      <c r="F4" s="55" t="s">
        <v>49</v>
      </c>
      <c r="G4" s="53" t="s">
        <v>195</v>
      </c>
      <c r="H4" s="56" t="s">
        <v>194</v>
      </c>
      <c r="I4" s="57" t="s">
        <v>51</v>
      </c>
      <c r="K4" s="51"/>
    </row>
    <row r="5" spans="1:13" ht="12.75" thickBot="1" x14ac:dyDescent="0.25">
      <c r="B5" s="49" t="s">
        <v>168</v>
      </c>
      <c r="C5" s="58" t="s">
        <v>87</v>
      </c>
      <c r="D5" s="59" t="s">
        <v>88</v>
      </c>
      <c r="E5" s="60" t="s">
        <v>88</v>
      </c>
      <c r="F5" s="61" t="s">
        <v>88</v>
      </c>
      <c r="G5" s="59" t="s">
        <v>88</v>
      </c>
      <c r="H5" s="62" t="s">
        <v>89</v>
      </c>
      <c r="I5" s="63" t="s">
        <v>91</v>
      </c>
      <c r="J5" s="64" t="s">
        <v>90</v>
      </c>
      <c r="K5" s="51" t="s">
        <v>169</v>
      </c>
      <c r="L5" s="48" t="s">
        <v>22</v>
      </c>
      <c r="M5" s="65" t="s">
        <v>107</v>
      </c>
    </row>
    <row r="6" spans="1:13" x14ac:dyDescent="0.2">
      <c r="A6" s="40" t="s">
        <v>55</v>
      </c>
      <c r="E6" s="67"/>
      <c r="F6" s="68"/>
      <c r="H6" s="69"/>
      <c r="M6" s="171" t="s">
        <v>180</v>
      </c>
    </row>
    <row r="7" spans="1:13" x14ac:dyDescent="0.2">
      <c r="B7" s="38"/>
      <c r="C7" s="71"/>
      <c r="D7" s="38"/>
      <c r="E7" s="72"/>
      <c r="F7" s="73"/>
      <c r="G7" s="38"/>
      <c r="H7" s="74"/>
      <c r="I7" s="75"/>
      <c r="J7" s="71"/>
    </row>
    <row r="8" spans="1:13" x14ac:dyDescent="0.2">
      <c r="A8" s="37" t="s">
        <v>34</v>
      </c>
      <c r="B8" s="188">
        <f>'Uses Detail'!C6</f>
        <v>750000</v>
      </c>
      <c r="C8" s="189"/>
      <c r="D8" s="188"/>
      <c r="E8" s="190"/>
      <c r="F8" s="191"/>
      <c r="G8" s="188">
        <f>80%*B8</f>
        <v>600000</v>
      </c>
      <c r="H8" s="192">
        <f>B8-G8</f>
        <v>150000</v>
      </c>
      <c r="I8" s="193"/>
      <c r="J8" s="189">
        <f>SUM(C8:I8)</f>
        <v>750000</v>
      </c>
      <c r="K8" s="39">
        <f>B8-J8</f>
        <v>0</v>
      </c>
    </row>
    <row r="9" spans="1:13" x14ac:dyDescent="0.2">
      <c r="A9" s="37" t="s">
        <v>3</v>
      </c>
      <c r="B9" s="188">
        <f>'Uses Detail'!C7</f>
        <v>660000</v>
      </c>
      <c r="C9" s="189"/>
      <c r="D9" s="188"/>
      <c r="E9" s="190"/>
      <c r="F9" s="191"/>
      <c r="G9" s="188">
        <f>82.5%*B9</f>
        <v>544500</v>
      </c>
      <c r="H9" s="192">
        <f>B9-G9</f>
        <v>115500</v>
      </c>
      <c r="I9" s="193"/>
      <c r="J9" s="189">
        <f t="shared" ref="J9:J45" si="0">SUM(C9:I9)</f>
        <v>660000</v>
      </c>
      <c r="K9" s="39">
        <f t="shared" ref="K9:K68" si="1">B9-J9</f>
        <v>0</v>
      </c>
    </row>
    <row r="10" spans="1:13" x14ac:dyDescent="0.2">
      <c r="A10" s="37" t="s">
        <v>26</v>
      </c>
      <c r="B10" s="188">
        <f>'Uses Detail'!C8</f>
        <v>160000</v>
      </c>
      <c r="C10" s="189"/>
      <c r="D10" s="188"/>
      <c r="E10" s="190"/>
      <c r="F10" s="191"/>
      <c r="G10" s="188">
        <f>35%*B10</f>
        <v>56000</v>
      </c>
      <c r="H10" s="192">
        <f>40%*B10</f>
        <v>64000</v>
      </c>
      <c r="I10" s="193">
        <f>B10-SUM(F10:H10)</f>
        <v>40000</v>
      </c>
      <c r="J10" s="189">
        <f t="shared" si="0"/>
        <v>160000</v>
      </c>
      <c r="K10" s="39">
        <f t="shared" si="1"/>
        <v>0</v>
      </c>
      <c r="L10" s="37" t="s">
        <v>92</v>
      </c>
    </row>
    <row r="11" spans="1:13" x14ac:dyDescent="0.2">
      <c r="A11" s="37" t="s">
        <v>56</v>
      </c>
      <c r="B11" s="188">
        <f>'Uses Detail'!B9</f>
        <v>0</v>
      </c>
      <c r="C11" s="189"/>
      <c r="D11" s="188"/>
      <c r="E11" s="190"/>
      <c r="F11" s="191"/>
      <c r="G11" s="188"/>
      <c r="H11" s="192"/>
      <c r="I11" s="193"/>
      <c r="J11" s="189"/>
      <c r="L11" s="76">
        <f>SUM(J12:J31)</f>
        <v>188400</v>
      </c>
      <c r="M11" s="37" t="s">
        <v>131</v>
      </c>
    </row>
    <row r="12" spans="1:13" x14ac:dyDescent="0.2">
      <c r="A12" s="37" t="s">
        <v>58</v>
      </c>
      <c r="B12" s="188">
        <f>'Uses Detail'!B10</f>
        <v>26376.000000000004</v>
      </c>
      <c r="C12" s="189">
        <f>14%*B12</f>
        <v>3692.6400000000008</v>
      </c>
      <c r="D12" s="188">
        <f>21%*$B$12</f>
        <v>5538.9600000000009</v>
      </c>
      <c r="E12" s="190">
        <f>21%*$B$12</f>
        <v>5538.9600000000009</v>
      </c>
      <c r="F12" s="191">
        <f>21%*$B$12</f>
        <v>5538.9600000000009</v>
      </c>
      <c r="G12" s="188">
        <f>B12-SUM(C12:F12)</f>
        <v>6066.48</v>
      </c>
      <c r="H12" s="192"/>
      <c r="I12" s="193"/>
      <c r="J12" s="189">
        <f t="shared" si="0"/>
        <v>26376.000000000004</v>
      </c>
      <c r="K12" s="39">
        <f t="shared" si="1"/>
        <v>0</v>
      </c>
    </row>
    <row r="13" spans="1:13" x14ac:dyDescent="0.2">
      <c r="A13" s="37" t="s">
        <v>57</v>
      </c>
      <c r="B13" s="188">
        <f>'Uses Detail'!B11</f>
        <v>11304</v>
      </c>
      <c r="C13" s="189"/>
      <c r="D13" s="188">
        <f>B13</f>
        <v>11304</v>
      </c>
      <c r="E13" s="190"/>
      <c r="F13" s="191"/>
      <c r="G13" s="188"/>
      <c r="H13" s="192"/>
      <c r="I13" s="193"/>
      <c r="J13" s="189">
        <f t="shared" si="0"/>
        <v>11304</v>
      </c>
      <c r="K13" s="39">
        <f t="shared" si="1"/>
        <v>0</v>
      </c>
    </row>
    <row r="14" spans="1:13" x14ac:dyDescent="0.2">
      <c r="A14" s="37" t="s">
        <v>130</v>
      </c>
      <c r="B14" s="188">
        <f>'Uses Detail'!B12</f>
        <v>9420</v>
      </c>
      <c r="C14" s="189"/>
      <c r="D14" s="188"/>
      <c r="E14" s="190">
        <f>60%*B14</f>
        <v>5652</v>
      </c>
      <c r="F14" s="191">
        <f>B14-E14</f>
        <v>3768</v>
      </c>
      <c r="G14" s="188"/>
      <c r="H14" s="192"/>
      <c r="I14" s="193"/>
      <c r="J14" s="189">
        <f t="shared" si="0"/>
        <v>9420</v>
      </c>
      <c r="K14" s="39">
        <f t="shared" si="1"/>
        <v>0</v>
      </c>
    </row>
    <row r="15" spans="1:13" x14ac:dyDescent="0.2">
      <c r="A15" s="37" t="s">
        <v>59</v>
      </c>
      <c r="B15" s="188">
        <f>'Uses Detail'!B13</f>
        <v>5652</v>
      </c>
      <c r="C15" s="189"/>
      <c r="D15" s="188">
        <v>4000</v>
      </c>
      <c r="E15" s="190">
        <v>1000</v>
      </c>
      <c r="F15" s="191">
        <f>B15-SUM(D15:E15)</f>
        <v>652</v>
      </c>
      <c r="G15" s="188"/>
      <c r="H15" s="192"/>
      <c r="I15" s="193"/>
      <c r="J15" s="189">
        <f t="shared" si="0"/>
        <v>5652</v>
      </c>
      <c r="K15" s="39">
        <f t="shared" si="1"/>
        <v>0</v>
      </c>
    </row>
    <row r="16" spans="1:13" x14ac:dyDescent="0.2">
      <c r="A16" s="37" t="s">
        <v>60</v>
      </c>
      <c r="B16" s="188">
        <f>'Uses Detail'!B14</f>
        <v>5652</v>
      </c>
      <c r="C16" s="189"/>
      <c r="D16" s="188">
        <v>3000</v>
      </c>
      <c r="E16" s="190">
        <f>B16-D16</f>
        <v>2652</v>
      </c>
      <c r="F16" s="191"/>
      <c r="G16" s="188"/>
      <c r="H16" s="192"/>
      <c r="I16" s="193"/>
      <c r="J16" s="189">
        <f t="shared" si="0"/>
        <v>5652</v>
      </c>
      <c r="K16" s="39">
        <f t="shared" si="1"/>
        <v>0</v>
      </c>
    </row>
    <row r="17" spans="1:12" x14ac:dyDescent="0.2">
      <c r="A17" s="37" t="s">
        <v>86</v>
      </c>
      <c r="B17" s="188">
        <f>'Uses Detail'!B15</f>
        <v>47100</v>
      </c>
      <c r="C17" s="189"/>
      <c r="D17" s="188"/>
      <c r="E17" s="190"/>
      <c r="F17" s="191">
        <f>80%*B17</f>
        <v>37680</v>
      </c>
      <c r="G17" s="188">
        <f>20%*B17</f>
        <v>9420</v>
      </c>
      <c r="H17" s="192"/>
      <c r="I17" s="193"/>
      <c r="J17" s="189">
        <f t="shared" si="0"/>
        <v>47100</v>
      </c>
      <c r="K17" s="39">
        <f t="shared" si="1"/>
        <v>0</v>
      </c>
    </row>
    <row r="18" spans="1:12" x14ac:dyDescent="0.2">
      <c r="A18" s="37" t="s">
        <v>61</v>
      </c>
      <c r="B18" s="188">
        <f>'Uses Detail'!B16</f>
        <v>12246</v>
      </c>
      <c r="C18" s="189">
        <v>2000</v>
      </c>
      <c r="D18" s="188">
        <v>2000</v>
      </c>
      <c r="E18" s="190">
        <v>2000</v>
      </c>
      <c r="F18" s="191">
        <v>3500</v>
      </c>
      <c r="G18" s="188">
        <f>B18-SUM(C18:F18)</f>
        <v>2746</v>
      </c>
      <c r="H18" s="192"/>
      <c r="I18" s="193"/>
      <c r="J18" s="189">
        <f t="shared" si="0"/>
        <v>12246</v>
      </c>
      <c r="K18" s="39">
        <f t="shared" si="1"/>
        <v>0</v>
      </c>
    </row>
    <row r="19" spans="1:12" x14ac:dyDescent="0.2">
      <c r="A19" s="37" t="s">
        <v>62</v>
      </c>
      <c r="B19" s="188">
        <f>'Uses Detail'!B17</f>
        <v>9420</v>
      </c>
      <c r="C19" s="189"/>
      <c r="D19" s="188"/>
      <c r="E19" s="190"/>
      <c r="F19" s="191">
        <v>3000</v>
      </c>
      <c r="G19" s="188">
        <f>B19-F19</f>
        <v>6420</v>
      </c>
      <c r="H19" s="192" t="s">
        <v>143</v>
      </c>
      <c r="I19" s="193"/>
      <c r="J19" s="189">
        <f t="shared" si="0"/>
        <v>9420</v>
      </c>
      <c r="K19" s="39">
        <f t="shared" si="1"/>
        <v>0</v>
      </c>
    </row>
    <row r="20" spans="1:12" x14ac:dyDescent="0.2">
      <c r="A20" s="37" t="s">
        <v>141</v>
      </c>
      <c r="B20" s="188">
        <f>'Uses Detail'!B18</f>
        <v>23550</v>
      </c>
      <c r="C20" s="189"/>
      <c r="D20" s="188"/>
      <c r="E20" s="190"/>
      <c r="F20" s="191">
        <v>5000</v>
      </c>
      <c r="G20" s="188">
        <v>10000</v>
      </c>
      <c r="H20" s="192">
        <f>B20-SUM(F20:G20)</f>
        <v>8550</v>
      </c>
      <c r="I20" s="193"/>
      <c r="J20" s="189">
        <f>SUM(C20:I20)</f>
        <v>23550</v>
      </c>
      <c r="K20" s="39">
        <f t="shared" si="1"/>
        <v>0</v>
      </c>
      <c r="L20" s="37" t="s">
        <v>144</v>
      </c>
    </row>
    <row r="21" spans="1:12" x14ac:dyDescent="0.2">
      <c r="A21" s="37" t="s">
        <v>63</v>
      </c>
      <c r="B21" s="188">
        <f>'Uses Detail'!B19</f>
        <v>0</v>
      </c>
      <c r="C21" s="189"/>
      <c r="D21" s="188"/>
      <c r="E21" s="190"/>
      <c r="F21" s="191"/>
      <c r="G21" s="188"/>
      <c r="H21" s="192"/>
      <c r="I21" s="193"/>
      <c r="J21" s="189"/>
    </row>
    <row r="22" spans="1:12" x14ac:dyDescent="0.2">
      <c r="A22" s="37" t="s">
        <v>64</v>
      </c>
      <c r="B22" s="188">
        <f>'Uses Detail'!B20</f>
        <v>942</v>
      </c>
      <c r="C22" s="189">
        <f>B22</f>
        <v>942</v>
      </c>
      <c r="D22" s="188"/>
      <c r="E22" s="190"/>
      <c r="F22" s="191"/>
      <c r="G22" s="188"/>
      <c r="H22" s="192"/>
      <c r="I22" s="193"/>
      <c r="J22" s="189">
        <f t="shared" si="0"/>
        <v>942</v>
      </c>
      <c r="K22" s="39">
        <f t="shared" si="1"/>
        <v>0</v>
      </c>
    </row>
    <row r="23" spans="1:12" x14ac:dyDescent="0.2">
      <c r="A23" s="37" t="s">
        <v>65</v>
      </c>
      <c r="B23" s="188">
        <f>'Uses Detail'!B21</f>
        <v>2826</v>
      </c>
      <c r="C23" s="189"/>
      <c r="D23" s="188"/>
      <c r="E23" s="190">
        <f>B23</f>
        <v>2826</v>
      </c>
      <c r="F23" s="191"/>
      <c r="G23" s="188"/>
      <c r="H23" s="192"/>
      <c r="I23" s="193"/>
      <c r="J23" s="189">
        <f t="shared" si="0"/>
        <v>2826</v>
      </c>
      <c r="K23" s="39">
        <f t="shared" si="1"/>
        <v>0</v>
      </c>
    </row>
    <row r="24" spans="1:12" x14ac:dyDescent="0.2">
      <c r="A24" s="37" t="s">
        <v>132</v>
      </c>
      <c r="B24" s="188">
        <f>'Uses Detail'!B22</f>
        <v>5652</v>
      </c>
      <c r="C24" s="189"/>
      <c r="D24" s="188"/>
      <c r="E24" s="190">
        <f>B24</f>
        <v>5652</v>
      </c>
      <c r="F24" s="191"/>
      <c r="G24" s="188"/>
      <c r="H24" s="192"/>
      <c r="I24" s="193"/>
      <c r="J24" s="189">
        <f t="shared" si="0"/>
        <v>5652</v>
      </c>
      <c r="K24" s="39">
        <f t="shared" si="1"/>
        <v>0</v>
      </c>
    </row>
    <row r="25" spans="1:12" x14ac:dyDescent="0.2">
      <c r="A25" s="37" t="s">
        <v>101</v>
      </c>
      <c r="B25" s="188">
        <f>'Uses Detail'!B23</f>
        <v>1884</v>
      </c>
      <c r="C25" s="189"/>
      <c r="D25" s="188"/>
      <c r="E25" s="190">
        <v>1000</v>
      </c>
      <c r="F25" s="191">
        <f>B25-E25</f>
        <v>884</v>
      </c>
      <c r="G25" s="188"/>
      <c r="H25" s="192"/>
      <c r="I25" s="193"/>
      <c r="J25" s="189">
        <f t="shared" si="0"/>
        <v>1884</v>
      </c>
      <c r="K25" s="39">
        <f t="shared" si="1"/>
        <v>0</v>
      </c>
    </row>
    <row r="26" spans="1:12" x14ac:dyDescent="0.2">
      <c r="A26" s="37" t="s">
        <v>66</v>
      </c>
      <c r="B26" s="188">
        <f>'Uses Detail'!B24</f>
        <v>6594.0000000000009</v>
      </c>
      <c r="C26" s="189"/>
      <c r="D26" s="188"/>
      <c r="E26" s="190"/>
      <c r="F26" s="191">
        <v>3500</v>
      </c>
      <c r="G26" s="188">
        <f>B26-F26</f>
        <v>3094.0000000000009</v>
      </c>
      <c r="H26" s="192"/>
      <c r="I26" s="193"/>
      <c r="J26" s="189">
        <f t="shared" si="0"/>
        <v>6594.0000000000009</v>
      </c>
      <c r="K26" s="39">
        <f t="shared" si="1"/>
        <v>0</v>
      </c>
    </row>
    <row r="27" spans="1:12" x14ac:dyDescent="0.2">
      <c r="A27" s="37" t="s">
        <v>93</v>
      </c>
      <c r="B27" s="188">
        <f>'Uses Detail'!B25</f>
        <v>3768</v>
      </c>
      <c r="C27" s="189">
        <v>500</v>
      </c>
      <c r="D27" s="188"/>
      <c r="E27" s="190">
        <v>1000</v>
      </c>
      <c r="F27" s="191">
        <v>1000</v>
      </c>
      <c r="G27" s="188">
        <v>1000</v>
      </c>
      <c r="H27" s="192">
        <f>B27-SUM(C27:G27)</f>
        <v>268</v>
      </c>
      <c r="I27" s="193"/>
      <c r="J27" s="189">
        <f t="shared" si="0"/>
        <v>3768</v>
      </c>
      <c r="K27" s="39">
        <f t="shared" si="1"/>
        <v>0</v>
      </c>
    </row>
    <row r="28" spans="1:12" x14ac:dyDescent="0.2">
      <c r="A28" s="37" t="s">
        <v>94</v>
      </c>
      <c r="B28" s="188">
        <f>'Uses Detail'!B26</f>
        <v>2826</v>
      </c>
      <c r="C28" s="189"/>
      <c r="D28" s="188"/>
      <c r="E28" s="190">
        <v>1000</v>
      </c>
      <c r="F28" s="191">
        <v>1000</v>
      </c>
      <c r="G28" s="188">
        <f>B28-SUM(C28:F28)</f>
        <v>826</v>
      </c>
      <c r="H28" s="192"/>
      <c r="I28" s="193"/>
      <c r="J28" s="189">
        <f t="shared" si="0"/>
        <v>2826</v>
      </c>
      <c r="K28" s="39">
        <f t="shared" si="1"/>
        <v>0</v>
      </c>
    </row>
    <row r="29" spans="1:12" x14ac:dyDescent="0.2">
      <c r="A29" s="37" t="s">
        <v>67</v>
      </c>
      <c r="B29" s="188">
        <f>'Uses Detail'!B27</f>
        <v>5652</v>
      </c>
      <c r="C29" s="189"/>
      <c r="D29" s="188">
        <f>B29</f>
        <v>5652</v>
      </c>
      <c r="E29" s="190"/>
      <c r="F29" s="191"/>
      <c r="G29" s="188"/>
      <c r="H29" s="192"/>
      <c r="I29" s="193"/>
      <c r="J29" s="189">
        <f t="shared" si="0"/>
        <v>5652</v>
      </c>
      <c r="K29" s="39">
        <f t="shared" si="1"/>
        <v>0</v>
      </c>
    </row>
    <row r="30" spans="1:12" x14ac:dyDescent="0.2">
      <c r="A30" s="37" t="s">
        <v>68</v>
      </c>
      <c r="B30" s="188">
        <f>'Uses Detail'!B28</f>
        <v>7536</v>
      </c>
      <c r="C30" s="189">
        <v>1000</v>
      </c>
      <c r="D30" s="188">
        <v>1000</v>
      </c>
      <c r="E30" s="190">
        <v>1000</v>
      </c>
      <c r="F30" s="191">
        <v>2000</v>
      </c>
      <c r="G30" s="188">
        <v>2000</v>
      </c>
      <c r="H30" s="192">
        <f>B30-SUM(C30:G30)</f>
        <v>536</v>
      </c>
      <c r="I30" s="193"/>
      <c r="J30" s="189">
        <f t="shared" si="0"/>
        <v>7536</v>
      </c>
      <c r="K30" s="39">
        <f t="shared" si="1"/>
        <v>0</v>
      </c>
      <c r="L30" s="37" t="s">
        <v>97</v>
      </c>
    </row>
    <row r="31" spans="1:12" x14ac:dyDescent="0.2">
      <c r="A31" s="37" t="s">
        <v>98</v>
      </c>
      <c r="B31" s="188"/>
      <c r="C31" s="189"/>
      <c r="D31" s="188"/>
      <c r="E31" s="190"/>
      <c r="F31" s="191"/>
      <c r="G31" s="188"/>
      <c r="H31" s="192"/>
      <c r="I31" s="193"/>
      <c r="J31" s="189">
        <f t="shared" si="0"/>
        <v>0</v>
      </c>
      <c r="K31" s="39">
        <f t="shared" si="1"/>
        <v>0</v>
      </c>
      <c r="L31" s="77" t="s">
        <v>99</v>
      </c>
    </row>
    <row r="32" spans="1:12" x14ac:dyDescent="0.2">
      <c r="A32" s="37" t="s">
        <v>114</v>
      </c>
      <c r="B32" s="188">
        <f>'Uses Detail'!C30</f>
        <v>50000</v>
      </c>
      <c r="C32" s="189">
        <v>2000</v>
      </c>
      <c r="D32" s="188">
        <v>4000</v>
      </c>
      <c r="E32" s="190">
        <v>6000</v>
      </c>
      <c r="F32" s="191">
        <v>6000</v>
      </c>
      <c r="G32" s="188">
        <v>6000</v>
      </c>
      <c r="H32" s="192">
        <f>B32-SUM(C32:G32)</f>
        <v>26000</v>
      </c>
      <c r="I32" s="193"/>
      <c r="J32" s="189">
        <f t="shared" si="0"/>
        <v>50000</v>
      </c>
      <c r="K32" s="39">
        <f t="shared" si="1"/>
        <v>0</v>
      </c>
      <c r="L32" s="77"/>
    </row>
    <row r="33" spans="1:13" x14ac:dyDescent="0.2">
      <c r="A33" s="37" t="s">
        <v>115</v>
      </c>
      <c r="B33" s="188">
        <f>'Uses Detail'!C31</f>
        <v>15000</v>
      </c>
      <c r="C33" s="189">
        <f>1/3*B33</f>
        <v>5000</v>
      </c>
      <c r="D33" s="188">
        <f>20%*B33</f>
        <v>3000</v>
      </c>
      <c r="E33" s="190">
        <f>20%*B33</f>
        <v>3000</v>
      </c>
      <c r="F33" s="191">
        <f>2/15*B33</f>
        <v>2000</v>
      </c>
      <c r="G33" s="188">
        <f>B33-SUM(C33:F33)</f>
        <v>2000</v>
      </c>
      <c r="H33" s="192"/>
      <c r="I33" s="193"/>
      <c r="J33" s="189">
        <f t="shared" si="0"/>
        <v>15000</v>
      </c>
      <c r="K33" s="39">
        <f t="shared" si="1"/>
        <v>0</v>
      </c>
    </row>
    <row r="34" spans="1:13" x14ac:dyDescent="0.2">
      <c r="A34" s="37" t="s">
        <v>69</v>
      </c>
      <c r="B34" s="188">
        <f>'Uses Detail'!C32</f>
        <v>12500</v>
      </c>
      <c r="C34" s="189">
        <f>8%*B34</f>
        <v>1000</v>
      </c>
      <c r="D34" s="188"/>
      <c r="E34" s="190">
        <f>12%*B34</f>
        <v>1500</v>
      </c>
      <c r="F34" s="191">
        <f>8%*B34</f>
        <v>1000</v>
      </c>
      <c r="G34" s="188">
        <f>8%*B34</f>
        <v>1000</v>
      </c>
      <c r="H34" s="192">
        <f>B34-SUM(C34:G34)</f>
        <v>8000</v>
      </c>
      <c r="I34" s="193"/>
      <c r="J34" s="189">
        <f t="shared" si="0"/>
        <v>12500</v>
      </c>
      <c r="K34" s="39">
        <f t="shared" si="1"/>
        <v>0</v>
      </c>
      <c r="L34" s="37" t="s">
        <v>100</v>
      </c>
    </row>
    <row r="35" spans="1:13" x14ac:dyDescent="0.2">
      <c r="A35" s="37" t="s">
        <v>70</v>
      </c>
      <c r="B35" s="188">
        <f>'Uses Detail'!C33</f>
        <v>125666.66666666666</v>
      </c>
      <c r="C35" s="189"/>
      <c r="D35" s="188"/>
      <c r="E35" s="190" t="s">
        <v>33</v>
      </c>
      <c r="F35" s="191">
        <f>25%*B35</f>
        <v>31416.666666666664</v>
      </c>
      <c r="G35" s="194">
        <f>37%*B35</f>
        <v>46496.666666666664</v>
      </c>
      <c r="H35" s="192">
        <f>B35-SUM(C35:G35)</f>
        <v>47753.333333333328</v>
      </c>
      <c r="I35" s="193"/>
      <c r="J35" s="189">
        <f t="shared" si="0"/>
        <v>125666.66666666666</v>
      </c>
      <c r="K35" s="39">
        <f t="shared" si="1"/>
        <v>0</v>
      </c>
    </row>
    <row r="36" spans="1:13" x14ac:dyDescent="0.2">
      <c r="A36" s="37" t="s">
        <v>8</v>
      </c>
      <c r="B36" s="188"/>
      <c r="C36" s="189"/>
      <c r="D36" s="188"/>
      <c r="E36" s="190"/>
      <c r="F36" s="195"/>
      <c r="G36" s="196"/>
      <c r="H36" s="192"/>
      <c r="I36" s="193"/>
      <c r="J36" s="189"/>
      <c r="L36" s="76">
        <f>SUM(J37:J40)</f>
        <v>20000</v>
      </c>
      <c r="M36" s="37" t="s">
        <v>133</v>
      </c>
    </row>
    <row r="37" spans="1:13" x14ac:dyDescent="0.2">
      <c r="A37" s="37" t="s">
        <v>71</v>
      </c>
      <c r="B37" s="188">
        <f>'Uses Detail'!B35</f>
        <v>6000</v>
      </c>
      <c r="C37" s="189"/>
      <c r="D37" s="188"/>
      <c r="E37" s="190"/>
      <c r="F37" s="191">
        <f>B37</f>
        <v>6000</v>
      </c>
      <c r="G37" s="188"/>
      <c r="H37" s="192"/>
      <c r="I37" s="193"/>
      <c r="J37" s="189">
        <f t="shared" si="0"/>
        <v>6000</v>
      </c>
      <c r="K37" s="39">
        <f t="shared" si="1"/>
        <v>0</v>
      </c>
      <c r="L37" s="37" t="s">
        <v>96</v>
      </c>
    </row>
    <row r="38" spans="1:13" x14ac:dyDescent="0.2">
      <c r="A38" s="37" t="s">
        <v>95</v>
      </c>
      <c r="B38" s="188">
        <f>'Uses Detail'!B36</f>
        <v>6000</v>
      </c>
      <c r="C38" s="189"/>
      <c r="D38" s="188"/>
      <c r="E38" s="190"/>
      <c r="F38" s="191">
        <f>B38/2</f>
        <v>3000</v>
      </c>
      <c r="G38" s="188">
        <f>B38/3</f>
        <v>2000</v>
      </c>
      <c r="H38" s="192">
        <f>B38-SUM(F38:G38)</f>
        <v>1000</v>
      </c>
      <c r="I38" s="193"/>
      <c r="J38" s="189">
        <f t="shared" si="0"/>
        <v>6000</v>
      </c>
      <c r="K38" s="39">
        <f t="shared" si="1"/>
        <v>0</v>
      </c>
    </row>
    <row r="39" spans="1:13" x14ac:dyDescent="0.2">
      <c r="A39" s="37" t="s">
        <v>72</v>
      </c>
      <c r="B39" s="188">
        <f>'Uses Detail'!B37</f>
        <v>2000</v>
      </c>
      <c r="C39" s="189"/>
      <c r="D39" s="188"/>
      <c r="E39" s="190"/>
      <c r="F39" s="191"/>
      <c r="G39" s="188"/>
      <c r="H39" s="192">
        <f>B39</f>
        <v>2000</v>
      </c>
      <c r="I39" s="193"/>
      <c r="J39" s="189">
        <f t="shared" si="0"/>
        <v>2000</v>
      </c>
      <c r="K39" s="39">
        <f t="shared" si="1"/>
        <v>0</v>
      </c>
    </row>
    <row r="40" spans="1:13" x14ac:dyDescent="0.2">
      <c r="A40" s="37" t="s">
        <v>73</v>
      </c>
      <c r="B40" s="188">
        <f>'Uses Detail'!B38</f>
        <v>6000</v>
      </c>
      <c r="C40" s="189"/>
      <c r="D40" s="188"/>
      <c r="E40" s="190"/>
      <c r="F40" s="191"/>
      <c r="G40" s="188">
        <f>B40*2/3</f>
        <v>4000</v>
      </c>
      <c r="H40" s="192">
        <f>B40-G40</f>
        <v>2000</v>
      </c>
      <c r="I40" s="193"/>
      <c r="J40" s="189">
        <f t="shared" si="0"/>
        <v>6000</v>
      </c>
      <c r="K40" s="39">
        <f t="shared" si="1"/>
        <v>0</v>
      </c>
    </row>
    <row r="41" spans="1:13" x14ac:dyDescent="0.2">
      <c r="A41" s="37" t="s">
        <v>74</v>
      </c>
      <c r="B41" s="188">
        <f>'Uses Detail'!C40</f>
        <v>17500</v>
      </c>
      <c r="C41" s="189"/>
      <c r="D41" s="188"/>
      <c r="E41" s="190"/>
      <c r="F41" s="191"/>
      <c r="G41" s="188">
        <f>80%*B41</f>
        <v>14000</v>
      </c>
      <c r="H41" s="192">
        <f>B41-G41</f>
        <v>3500</v>
      </c>
      <c r="I41" s="193"/>
      <c r="J41" s="189">
        <f t="shared" si="0"/>
        <v>17500</v>
      </c>
      <c r="K41" s="39">
        <f t="shared" si="1"/>
        <v>0</v>
      </c>
    </row>
    <row r="42" spans="1:13" x14ac:dyDescent="0.2">
      <c r="A42" s="37" t="s">
        <v>75</v>
      </c>
      <c r="B42" s="188">
        <f>'Uses Detail'!C41</f>
        <v>20000</v>
      </c>
      <c r="C42" s="189"/>
      <c r="D42" s="188"/>
      <c r="E42" s="190"/>
      <c r="F42" s="191"/>
      <c r="G42" s="188"/>
      <c r="H42" s="192"/>
      <c r="I42" s="193">
        <f>B42</f>
        <v>20000</v>
      </c>
      <c r="J42" s="189">
        <f>SUM(C42:I42)</f>
        <v>20000</v>
      </c>
      <c r="K42" s="39">
        <f t="shared" si="1"/>
        <v>0</v>
      </c>
    </row>
    <row r="43" spans="1:13" x14ac:dyDescent="0.2">
      <c r="A43" s="37" t="s">
        <v>166</v>
      </c>
      <c r="B43" s="188">
        <f>'Uses Detail'!C42</f>
        <v>0</v>
      </c>
      <c r="C43" s="189"/>
      <c r="D43" s="188"/>
      <c r="E43" s="190"/>
      <c r="F43" s="191"/>
      <c r="G43" s="188">
        <v>0</v>
      </c>
      <c r="H43" s="192"/>
      <c r="I43" s="193"/>
      <c r="J43" s="189">
        <f>SUM(C43:I43)</f>
        <v>0</v>
      </c>
      <c r="K43" s="39">
        <f t="shared" si="1"/>
        <v>0</v>
      </c>
      <c r="L43" s="37" t="s">
        <v>145</v>
      </c>
    </row>
    <row r="44" spans="1:13" x14ac:dyDescent="0.2">
      <c r="A44" s="37" t="s">
        <v>76</v>
      </c>
      <c r="B44" s="188">
        <f>'Uses Detail'!C43</f>
        <v>200000</v>
      </c>
      <c r="C44" s="189"/>
      <c r="D44" s="188"/>
      <c r="E44" s="190"/>
      <c r="F44" s="191"/>
      <c r="G44" s="188"/>
      <c r="H44" s="192"/>
      <c r="I44" s="193">
        <f>B44</f>
        <v>200000</v>
      </c>
      <c r="J44" s="189">
        <f t="shared" si="0"/>
        <v>200000</v>
      </c>
      <c r="K44" s="39">
        <f t="shared" si="1"/>
        <v>0</v>
      </c>
    </row>
    <row r="45" spans="1:13" x14ac:dyDescent="0.2">
      <c r="A45" s="37" t="s">
        <v>77</v>
      </c>
      <c r="B45" s="188">
        <f>'Uses Detail'!C44</f>
        <v>332860.00000000006</v>
      </c>
      <c r="C45" s="197"/>
      <c r="D45" s="198"/>
      <c r="E45" s="199"/>
      <c r="F45" s="200"/>
      <c r="G45" s="201"/>
      <c r="H45" s="202">
        <f>70%*B45</f>
        <v>233002.00000000003</v>
      </c>
      <c r="I45" s="203">
        <f>B45-H45</f>
        <v>99858.000000000029</v>
      </c>
      <c r="J45" s="197">
        <f t="shared" si="0"/>
        <v>332860.00000000006</v>
      </c>
      <c r="K45" s="39">
        <f t="shared" si="1"/>
        <v>0</v>
      </c>
    </row>
    <row r="46" spans="1:13" x14ac:dyDescent="0.2">
      <c r="A46" s="37" t="s">
        <v>78</v>
      </c>
      <c r="B46" s="204">
        <f t="shared" ref="B46:J46" si="2">SUM(B8:B45)</f>
        <v>2551926.666666667</v>
      </c>
      <c r="C46" s="189">
        <f t="shared" si="2"/>
        <v>16134.640000000001</v>
      </c>
      <c r="D46" s="188">
        <f t="shared" si="2"/>
        <v>39494.959999999999</v>
      </c>
      <c r="E46" s="190">
        <f t="shared" si="2"/>
        <v>39820.959999999999</v>
      </c>
      <c r="F46" s="191">
        <f t="shared" si="2"/>
        <v>116939.62666666665</v>
      </c>
      <c r="G46" s="188">
        <f t="shared" si="2"/>
        <v>1317569.1466666667</v>
      </c>
      <c r="H46" s="192">
        <f t="shared" si="2"/>
        <v>662109.33333333337</v>
      </c>
      <c r="I46" s="193">
        <f t="shared" si="2"/>
        <v>359858</v>
      </c>
      <c r="J46" s="189">
        <f t="shared" si="2"/>
        <v>2551926.666666667</v>
      </c>
      <c r="K46" s="39">
        <f t="shared" si="1"/>
        <v>0</v>
      </c>
    </row>
    <row r="47" spans="1:13" ht="14.25" x14ac:dyDescent="0.35">
      <c r="A47" s="81" t="s">
        <v>169</v>
      </c>
      <c r="B47" s="188">
        <f>B46-'Sources &amp; Uses Overall'!C44</f>
        <v>0</v>
      </c>
      <c r="C47" s="189"/>
      <c r="D47" s="188"/>
      <c r="E47" s="205"/>
      <c r="F47" s="191"/>
      <c r="G47" s="188"/>
      <c r="H47" s="192"/>
      <c r="I47" s="193"/>
      <c r="J47" s="206"/>
    </row>
    <row r="48" spans="1:13" x14ac:dyDescent="0.2">
      <c r="A48" s="40" t="s">
        <v>79</v>
      </c>
      <c r="B48" s="188"/>
      <c r="C48" s="189"/>
      <c r="D48" s="188"/>
      <c r="E48" s="205"/>
      <c r="F48" s="191"/>
      <c r="G48" s="188"/>
      <c r="H48" s="192"/>
      <c r="I48" s="193"/>
      <c r="J48" s="189"/>
      <c r="L48" s="37" t="s">
        <v>134</v>
      </c>
    </row>
    <row r="49" spans="1:13" x14ac:dyDescent="0.2">
      <c r="B49" s="188"/>
      <c r="C49" s="189"/>
      <c r="D49" s="188"/>
      <c r="E49" s="205"/>
      <c r="F49" s="191"/>
      <c r="G49" s="188"/>
      <c r="H49" s="192"/>
      <c r="I49" s="193"/>
      <c r="J49" s="189"/>
      <c r="L49" s="78">
        <f>J47-J69</f>
        <v>0</v>
      </c>
      <c r="M49" s="37" t="s">
        <v>138</v>
      </c>
    </row>
    <row r="50" spans="1:13" x14ac:dyDescent="0.2">
      <c r="A50" s="37" t="s">
        <v>29</v>
      </c>
      <c r="B50" s="188">
        <f>'Sources &amp; Uses Overall'!C47</f>
        <v>20000</v>
      </c>
      <c r="C50" s="189">
        <f>50%*B50</f>
        <v>10000</v>
      </c>
      <c r="D50" s="188">
        <f>25%*B50</f>
        <v>5000</v>
      </c>
      <c r="E50" s="205">
        <f>25%*B50</f>
        <v>5000</v>
      </c>
      <c r="F50" s="191"/>
      <c r="G50" s="188"/>
      <c r="H50" s="192"/>
      <c r="I50" s="193"/>
      <c r="J50" s="189">
        <f>SUM(C50:I50)</f>
        <v>20000</v>
      </c>
      <c r="K50" s="39">
        <f t="shared" si="1"/>
        <v>0</v>
      </c>
    </row>
    <row r="51" spans="1:13" x14ac:dyDescent="0.2">
      <c r="A51" s="37" t="s">
        <v>30</v>
      </c>
      <c r="B51" s="188">
        <f>'Sources &amp; Uses Overall'!C48</f>
        <v>30000</v>
      </c>
      <c r="C51" s="189">
        <f>B51/3</f>
        <v>10000</v>
      </c>
      <c r="D51" s="188">
        <f>B51/3</f>
        <v>10000</v>
      </c>
      <c r="E51" s="205">
        <f>B51/3</f>
        <v>10000</v>
      </c>
      <c r="F51" s="191"/>
      <c r="G51" s="188"/>
      <c r="H51" s="192"/>
      <c r="I51" s="193"/>
      <c r="J51" s="189">
        <f t="shared" ref="J51:J66" si="3">SUM(C51:I51)</f>
        <v>30000</v>
      </c>
      <c r="K51" s="39">
        <f t="shared" si="1"/>
        <v>0</v>
      </c>
      <c r="L51" s="212"/>
    </row>
    <row r="52" spans="1:13" x14ac:dyDescent="0.2">
      <c r="A52" s="37" t="s">
        <v>31</v>
      </c>
      <c r="B52" s="188">
        <f>'Sources &amp; Uses Overall'!C49</f>
        <v>200000</v>
      </c>
      <c r="C52" s="189">
        <f>30%*B52</f>
        <v>60000</v>
      </c>
      <c r="D52" s="188">
        <f>15%*B52</f>
        <v>30000</v>
      </c>
      <c r="E52" s="205">
        <f>15%*B52</f>
        <v>30000</v>
      </c>
      <c r="F52" s="191">
        <f>20%*B52</f>
        <v>40000</v>
      </c>
      <c r="G52" s="188">
        <f>10%*B52</f>
        <v>20000</v>
      </c>
      <c r="H52" s="192">
        <f>5%*B52</f>
        <v>10000</v>
      </c>
      <c r="I52" s="193">
        <f>B52-SUM(C52:H52)</f>
        <v>10000</v>
      </c>
      <c r="J52" s="189">
        <f t="shared" si="3"/>
        <v>200000</v>
      </c>
      <c r="K52" s="39">
        <f t="shared" si="1"/>
        <v>0</v>
      </c>
      <c r="L52" s="212"/>
    </row>
    <row r="53" spans="1:13" x14ac:dyDescent="0.2">
      <c r="A53" s="37" t="s">
        <v>119</v>
      </c>
      <c r="B53" s="188">
        <f>'Sources &amp; Uses Overall'!C50</f>
        <v>500000</v>
      </c>
      <c r="C53" s="189"/>
      <c r="D53" s="188"/>
      <c r="E53" s="205"/>
      <c r="F53" s="191">
        <f>B53</f>
        <v>500000</v>
      </c>
      <c r="G53" s="188"/>
      <c r="H53" s="192"/>
      <c r="I53" s="193"/>
      <c r="J53" s="189">
        <f t="shared" si="3"/>
        <v>500000</v>
      </c>
      <c r="K53" s="39">
        <f t="shared" si="1"/>
        <v>0</v>
      </c>
      <c r="L53" s="220"/>
    </row>
    <row r="54" spans="1:13" x14ac:dyDescent="0.2">
      <c r="A54" s="37" t="s">
        <v>15</v>
      </c>
      <c r="B54" s="188">
        <f>'Sources &amp; Uses Overall'!C51</f>
        <v>500000</v>
      </c>
      <c r="C54" s="189"/>
      <c r="D54" s="188"/>
      <c r="E54" s="205"/>
      <c r="F54" s="191">
        <f>B54</f>
        <v>500000</v>
      </c>
      <c r="G54" s="188"/>
      <c r="H54" s="192"/>
      <c r="I54" s="193"/>
      <c r="J54" s="189">
        <f t="shared" si="3"/>
        <v>500000</v>
      </c>
      <c r="K54" s="39">
        <f t="shared" si="1"/>
        <v>0</v>
      </c>
      <c r="L54" s="212"/>
    </row>
    <row r="55" spans="1:13" x14ac:dyDescent="0.2">
      <c r="A55" s="37" t="s">
        <v>135</v>
      </c>
      <c r="B55" s="188">
        <f>'Sources &amp; Uses Overall'!C52</f>
        <v>0</v>
      </c>
      <c r="C55" s="189"/>
      <c r="D55" s="188"/>
      <c r="E55" s="205"/>
      <c r="F55" s="191"/>
      <c r="G55" s="188"/>
      <c r="H55" s="192"/>
      <c r="I55" s="193"/>
      <c r="J55" s="189"/>
      <c r="L55" s="212"/>
    </row>
    <row r="56" spans="1:13" x14ac:dyDescent="0.2">
      <c r="A56" s="37" t="s">
        <v>81</v>
      </c>
      <c r="B56" s="188">
        <f>'Sources &amp; Uses Overall'!C53</f>
        <v>0</v>
      </c>
      <c r="C56" s="189"/>
      <c r="D56" s="188"/>
      <c r="E56" s="205"/>
      <c r="F56" s="191"/>
      <c r="G56" s="188"/>
      <c r="H56" s="192"/>
      <c r="I56" s="193"/>
      <c r="J56" s="189">
        <f t="shared" si="3"/>
        <v>0</v>
      </c>
      <c r="K56" s="39">
        <f t="shared" si="1"/>
        <v>0</v>
      </c>
      <c r="L56" s="212"/>
    </row>
    <row r="57" spans="1:13" x14ac:dyDescent="0.2">
      <c r="A57" s="37" t="s">
        <v>82</v>
      </c>
      <c r="B57" s="204">
        <f>SUM(B50:B56)</f>
        <v>1250000</v>
      </c>
      <c r="C57" s="189"/>
      <c r="D57" s="188"/>
      <c r="E57" s="205"/>
      <c r="F57" s="191"/>
      <c r="G57" s="188"/>
      <c r="H57" s="192"/>
      <c r="I57" s="193"/>
      <c r="J57" s="189"/>
      <c r="L57" s="79"/>
    </row>
    <row r="58" spans="1:13" x14ac:dyDescent="0.2">
      <c r="B58" s="188"/>
      <c r="C58" s="189"/>
      <c r="D58" s="188"/>
      <c r="E58" s="205"/>
      <c r="F58" s="191"/>
      <c r="G58" s="188"/>
      <c r="H58" s="192"/>
      <c r="I58" s="193"/>
      <c r="J58" s="189"/>
      <c r="K58" s="39">
        <f t="shared" si="1"/>
        <v>0</v>
      </c>
    </row>
    <row r="59" spans="1:13" x14ac:dyDescent="0.2">
      <c r="A59" s="37" t="s">
        <v>17</v>
      </c>
      <c r="B59" s="188">
        <f>'Sources &amp; Uses Overall'!C57</f>
        <v>120000</v>
      </c>
      <c r="C59" s="189"/>
      <c r="D59" s="188"/>
      <c r="E59" s="205"/>
      <c r="F59" s="191"/>
      <c r="G59" s="188">
        <f>B59/3</f>
        <v>40000</v>
      </c>
      <c r="H59" s="192">
        <f>B59/3</f>
        <v>40000</v>
      </c>
      <c r="I59" s="193">
        <f>B59/3</f>
        <v>40000</v>
      </c>
      <c r="J59" s="189">
        <f t="shared" si="3"/>
        <v>120000</v>
      </c>
      <c r="K59" s="39">
        <f t="shared" si="1"/>
        <v>0</v>
      </c>
    </row>
    <row r="60" spans="1:13" x14ac:dyDescent="0.2">
      <c r="A60" s="37" t="s">
        <v>206</v>
      </c>
      <c r="B60" s="188">
        <f>'Sources &amp; Uses Overall'!C58</f>
        <v>24000</v>
      </c>
      <c r="C60" s="189"/>
      <c r="D60" s="188"/>
      <c r="E60" s="205"/>
      <c r="F60" s="191"/>
      <c r="G60" s="188"/>
      <c r="H60" s="192"/>
      <c r="I60" s="193">
        <f>B60</f>
        <v>24000</v>
      </c>
      <c r="J60" s="189">
        <f t="shared" si="3"/>
        <v>24000</v>
      </c>
      <c r="K60" s="39">
        <f t="shared" si="1"/>
        <v>0</v>
      </c>
    </row>
    <row r="61" spans="1:13" x14ac:dyDescent="0.2">
      <c r="A61" s="37" t="s">
        <v>18</v>
      </c>
      <c r="B61" s="188">
        <f>'Sources &amp; Uses Overall'!C59</f>
        <v>16000</v>
      </c>
      <c r="C61" s="189"/>
      <c r="D61" s="188"/>
      <c r="E61" s="205"/>
      <c r="F61" s="191"/>
      <c r="G61" s="188"/>
      <c r="H61" s="192"/>
      <c r="I61" s="193">
        <f>B61</f>
        <v>16000</v>
      </c>
      <c r="J61" s="189">
        <f t="shared" si="3"/>
        <v>16000</v>
      </c>
      <c r="K61" s="39">
        <f t="shared" si="1"/>
        <v>0</v>
      </c>
    </row>
    <row r="62" spans="1:13" x14ac:dyDescent="0.2">
      <c r="A62" s="37" t="s">
        <v>19</v>
      </c>
      <c r="B62" s="188">
        <f>'Sources &amp; Uses Overall'!C60</f>
        <v>150000</v>
      </c>
      <c r="C62" s="189"/>
      <c r="D62" s="188"/>
      <c r="E62" s="205"/>
      <c r="F62" s="191"/>
      <c r="G62" s="188">
        <f>B62</f>
        <v>150000</v>
      </c>
      <c r="H62" s="192"/>
      <c r="I62" s="193"/>
      <c r="J62" s="189">
        <f t="shared" si="3"/>
        <v>150000</v>
      </c>
      <c r="K62" s="39">
        <f t="shared" si="1"/>
        <v>0</v>
      </c>
    </row>
    <row r="63" spans="1:13" x14ac:dyDescent="0.2">
      <c r="A63" s="37" t="s">
        <v>124</v>
      </c>
      <c r="B63" s="188">
        <f>'Sources &amp; Uses Overall'!C61</f>
        <v>100000</v>
      </c>
      <c r="C63" s="189"/>
      <c r="D63" s="188"/>
      <c r="E63" s="205"/>
      <c r="F63" s="191"/>
      <c r="G63" s="188">
        <f>IF((G8+G9)&gt;B63,B63,(G8+G9))</f>
        <v>100000</v>
      </c>
      <c r="H63" s="192">
        <f>B63-G63</f>
        <v>0</v>
      </c>
      <c r="I63" s="193"/>
      <c r="J63" s="189">
        <f t="shared" si="3"/>
        <v>100000</v>
      </c>
      <c r="K63" s="39">
        <f t="shared" si="1"/>
        <v>0</v>
      </c>
    </row>
    <row r="64" spans="1:13" x14ac:dyDescent="0.2">
      <c r="A64" s="37" t="s">
        <v>20</v>
      </c>
      <c r="B64" s="204">
        <f>SUM(B59:B63)</f>
        <v>410000</v>
      </c>
      <c r="C64" s="189"/>
      <c r="D64" s="188"/>
      <c r="E64" s="205"/>
      <c r="F64" s="191"/>
      <c r="G64" s="188"/>
      <c r="H64" s="192"/>
      <c r="I64" s="193"/>
      <c r="J64" s="189"/>
      <c r="L64" s="79"/>
    </row>
    <row r="65" spans="1:12" x14ac:dyDescent="0.2">
      <c r="B65" s="188"/>
      <c r="C65" s="189"/>
      <c r="D65" s="188"/>
      <c r="E65" s="205"/>
      <c r="F65" s="191"/>
      <c r="G65" s="188"/>
      <c r="H65" s="192"/>
      <c r="I65" s="193"/>
      <c r="J65" s="189">
        <f t="shared" si="3"/>
        <v>0</v>
      </c>
      <c r="K65" s="39">
        <f t="shared" si="1"/>
        <v>0</v>
      </c>
    </row>
    <row r="66" spans="1:12" x14ac:dyDescent="0.2">
      <c r="A66" s="37" t="s">
        <v>21</v>
      </c>
      <c r="B66" s="188">
        <f>'Sources &amp; Uses Overall'!C64</f>
        <v>891926.66666666698</v>
      </c>
      <c r="C66" s="189"/>
      <c r="D66" s="188"/>
      <c r="E66" s="205"/>
      <c r="F66" s="191"/>
      <c r="G66" s="221">
        <f>IF(G63&lt;B63,0,IF(((G8+G9)-G63)&gt;B66,B66,((G8+G9)-G63)))</f>
        <v>891926.66666666698</v>
      </c>
      <c r="H66" s="192">
        <f>B66-G66</f>
        <v>0</v>
      </c>
      <c r="I66" s="193"/>
      <c r="J66" s="189">
        <f t="shared" si="3"/>
        <v>891926.66666666698</v>
      </c>
      <c r="K66" s="39">
        <f t="shared" si="1"/>
        <v>0</v>
      </c>
      <c r="L66" s="83"/>
    </row>
    <row r="67" spans="1:12" x14ac:dyDescent="0.2">
      <c r="B67" s="188"/>
      <c r="C67" s="207"/>
      <c r="D67" s="201"/>
      <c r="E67" s="208"/>
      <c r="F67" s="200"/>
      <c r="G67" s="201"/>
      <c r="H67" s="209"/>
      <c r="I67" s="210"/>
      <c r="J67" s="207"/>
      <c r="K67" s="39">
        <f t="shared" si="1"/>
        <v>0</v>
      </c>
    </row>
    <row r="68" spans="1:12" x14ac:dyDescent="0.2">
      <c r="A68" s="37" t="s">
        <v>83</v>
      </c>
      <c r="B68" s="204">
        <f>B57+B64+B66</f>
        <v>2551926.666666667</v>
      </c>
      <c r="C68" s="189">
        <f t="shared" ref="C68:J68" si="4">SUM(C50:C66)</f>
        <v>80000</v>
      </c>
      <c r="D68" s="188">
        <f t="shared" si="4"/>
        <v>45000</v>
      </c>
      <c r="E68" s="205">
        <f t="shared" si="4"/>
        <v>45000</v>
      </c>
      <c r="F68" s="191">
        <f t="shared" si="4"/>
        <v>1040000</v>
      </c>
      <c r="G68" s="188">
        <f t="shared" si="4"/>
        <v>1201926.666666667</v>
      </c>
      <c r="H68" s="192">
        <f t="shared" si="4"/>
        <v>50000</v>
      </c>
      <c r="I68" s="193">
        <f t="shared" si="4"/>
        <v>90000</v>
      </c>
      <c r="J68" s="189">
        <f t="shared" si="4"/>
        <v>2551926.666666667</v>
      </c>
      <c r="K68" s="39">
        <f t="shared" si="1"/>
        <v>0</v>
      </c>
    </row>
    <row r="69" spans="1:12" x14ac:dyDescent="0.2">
      <c r="A69" s="81" t="s">
        <v>169</v>
      </c>
      <c r="B69" s="188">
        <f>B68-'Sources &amp; Uses Overall'!C65</f>
        <v>0</v>
      </c>
      <c r="C69" s="189"/>
      <c r="D69" s="188"/>
      <c r="E69" s="205"/>
      <c r="F69" s="191"/>
      <c r="G69" s="188"/>
      <c r="H69" s="192"/>
      <c r="I69" s="193"/>
      <c r="J69" s="189"/>
      <c r="L69" s="78"/>
    </row>
    <row r="70" spans="1:12" x14ac:dyDescent="0.2">
      <c r="B70" s="188"/>
      <c r="C70" s="189"/>
      <c r="D70" s="188"/>
      <c r="E70" s="205"/>
      <c r="F70" s="191"/>
      <c r="G70" s="188"/>
      <c r="H70" s="192"/>
      <c r="I70" s="193"/>
      <c r="J70" s="189"/>
      <c r="L70" s="78"/>
    </row>
    <row r="71" spans="1:12" x14ac:dyDescent="0.2">
      <c r="A71" s="40" t="s">
        <v>85</v>
      </c>
      <c r="B71" s="211"/>
      <c r="C71" s="189">
        <v>0</v>
      </c>
      <c r="D71" s="188">
        <f>C74</f>
        <v>63865.36</v>
      </c>
      <c r="E71" s="205">
        <f t="shared" ref="E71:I71" si="5">D74</f>
        <v>69370.399999999994</v>
      </c>
      <c r="F71" s="191">
        <f t="shared" si="5"/>
        <v>74549.440000000002</v>
      </c>
      <c r="G71" s="188">
        <f t="shared" si="5"/>
        <v>997609.81333333335</v>
      </c>
      <c r="H71" s="192">
        <f t="shared" si="5"/>
        <v>881967.3333333336</v>
      </c>
      <c r="I71" s="193">
        <f t="shared" si="5"/>
        <v>269858.00000000023</v>
      </c>
      <c r="J71" s="189"/>
    </row>
    <row r="72" spans="1:12" x14ac:dyDescent="0.2">
      <c r="A72" s="40" t="s">
        <v>192</v>
      </c>
      <c r="B72" s="211"/>
      <c r="C72" s="189">
        <f>-C46</f>
        <v>-16134.640000000001</v>
      </c>
      <c r="D72" s="188">
        <f>-D46</f>
        <v>-39494.959999999999</v>
      </c>
      <c r="E72" s="205">
        <f t="shared" ref="E72:I72" si="6">-E46</f>
        <v>-39820.959999999999</v>
      </c>
      <c r="F72" s="191">
        <f t="shared" si="6"/>
        <v>-116939.62666666665</v>
      </c>
      <c r="G72" s="188">
        <f t="shared" si="6"/>
        <v>-1317569.1466666667</v>
      </c>
      <c r="H72" s="192">
        <f t="shared" si="6"/>
        <v>-662109.33333333337</v>
      </c>
      <c r="I72" s="193">
        <f t="shared" si="6"/>
        <v>-359858</v>
      </c>
      <c r="J72" s="189">
        <f>SUM(C72:I72)</f>
        <v>-2551926.666666667</v>
      </c>
    </row>
    <row r="73" spans="1:12" x14ac:dyDescent="0.2">
      <c r="A73" s="40" t="s">
        <v>193</v>
      </c>
      <c r="B73" s="211"/>
      <c r="C73" s="189">
        <f>C68</f>
        <v>80000</v>
      </c>
      <c r="D73" s="188">
        <f>D68</f>
        <v>45000</v>
      </c>
      <c r="E73" s="205">
        <f t="shared" ref="E73:I73" si="7">E68</f>
        <v>45000</v>
      </c>
      <c r="F73" s="191">
        <f t="shared" si="7"/>
        <v>1040000</v>
      </c>
      <c r="G73" s="188">
        <f t="shared" si="7"/>
        <v>1201926.666666667</v>
      </c>
      <c r="H73" s="192">
        <f t="shared" si="7"/>
        <v>50000</v>
      </c>
      <c r="I73" s="193">
        <f t="shared" si="7"/>
        <v>90000</v>
      </c>
      <c r="J73" s="189">
        <f>SUM(C73:I73)</f>
        <v>2551926.666666667</v>
      </c>
    </row>
    <row r="74" spans="1:12" x14ac:dyDescent="0.2">
      <c r="A74" s="40" t="s">
        <v>84</v>
      </c>
      <c r="B74" s="212"/>
      <c r="C74" s="189">
        <f>SUM(C71:C73)</f>
        <v>63865.36</v>
      </c>
      <c r="D74" s="188">
        <f>SUM(D71:D73)</f>
        <v>69370.399999999994</v>
      </c>
      <c r="E74" s="205">
        <f t="shared" ref="E74:I74" si="8">SUM(E71:E73)</f>
        <v>74549.440000000002</v>
      </c>
      <c r="F74" s="191">
        <f t="shared" si="8"/>
        <v>997609.81333333335</v>
      </c>
      <c r="G74" s="188">
        <f t="shared" si="8"/>
        <v>881967.3333333336</v>
      </c>
      <c r="H74" s="192">
        <f t="shared" si="8"/>
        <v>269858.00000000023</v>
      </c>
      <c r="I74" s="193">
        <f t="shared" si="8"/>
        <v>2.3283064365386963E-10</v>
      </c>
      <c r="J74" s="189"/>
    </row>
    <row r="75" spans="1:12" x14ac:dyDescent="0.2">
      <c r="A75" s="187"/>
      <c r="B75" s="213"/>
      <c r="C75" s="197"/>
      <c r="D75" s="214"/>
      <c r="E75" s="215"/>
      <c r="F75" s="216"/>
      <c r="G75" s="217"/>
      <c r="H75" s="202"/>
      <c r="I75" s="203"/>
      <c r="J75" s="207"/>
    </row>
    <row r="76" spans="1:12" x14ac:dyDescent="0.2">
      <c r="A76" s="80"/>
      <c r="B76" s="196"/>
      <c r="C76" s="196"/>
      <c r="D76" s="196"/>
      <c r="E76" s="196"/>
      <c r="F76" s="196"/>
      <c r="G76" s="196"/>
      <c r="H76" s="196"/>
      <c r="I76" s="196"/>
      <c r="J76" s="196"/>
    </row>
    <row r="77" spans="1:12" x14ac:dyDescent="0.2">
      <c r="A77" s="80" t="s">
        <v>202</v>
      </c>
      <c r="B77" s="196"/>
      <c r="C77" s="196">
        <f>SUM(C50:C52)</f>
        <v>80000</v>
      </c>
      <c r="D77" s="196">
        <f t="shared" ref="D77:E77" si="9">SUM(D50:D52)+C77</f>
        <v>125000</v>
      </c>
      <c r="E77" s="196">
        <f t="shared" si="9"/>
        <v>170000</v>
      </c>
      <c r="F77" s="196">
        <f>SUM(F50:F52)+E77</f>
        <v>210000</v>
      </c>
      <c r="G77" s="196"/>
      <c r="H77" s="196"/>
      <c r="I77" s="196"/>
      <c r="J77" s="196"/>
    </row>
    <row r="78" spans="1:12" x14ac:dyDescent="0.2">
      <c r="A78" s="80" t="s">
        <v>203</v>
      </c>
      <c r="B78" s="196"/>
      <c r="C78" s="196">
        <f>C46</f>
        <v>16134.640000000001</v>
      </c>
      <c r="D78" s="196">
        <f>D46+C78</f>
        <v>55629.599999999999</v>
      </c>
      <c r="E78" s="196">
        <f t="shared" ref="E78:F78" si="10">E46+D78</f>
        <v>95450.559999999998</v>
      </c>
      <c r="F78" s="196">
        <f t="shared" si="10"/>
        <v>212390.18666666665</v>
      </c>
      <c r="G78" s="196"/>
      <c r="H78" s="196"/>
      <c r="I78" s="196"/>
      <c r="J78" s="196"/>
    </row>
    <row r="79" spans="1:12" x14ac:dyDescent="0.2">
      <c r="A79" s="236" t="s">
        <v>204</v>
      </c>
      <c r="B79" s="237"/>
      <c r="C79" s="237">
        <f>C77-C78</f>
        <v>63865.36</v>
      </c>
      <c r="D79" s="237">
        <f t="shared" ref="D79:F79" si="11">D77-D78</f>
        <v>69370.399999999994</v>
      </c>
      <c r="E79" s="237">
        <f t="shared" si="11"/>
        <v>74549.440000000002</v>
      </c>
      <c r="F79" s="237">
        <f t="shared" si="11"/>
        <v>-2390.1866666666465</v>
      </c>
      <c r="G79" s="222" t="s">
        <v>205</v>
      </c>
      <c r="H79" s="222"/>
      <c r="I79" s="222"/>
      <c r="J79" s="222"/>
    </row>
    <row r="80" spans="1:12" x14ac:dyDescent="0.2">
      <c r="A80" s="80"/>
      <c r="B80" s="196"/>
      <c r="C80" s="196"/>
      <c r="D80" s="196"/>
      <c r="E80" s="196"/>
      <c r="F80" s="196"/>
      <c r="G80" s="196"/>
      <c r="H80" s="196"/>
      <c r="I80" s="196"/>
      <c r="J80" s="196"/>
    </row>
    <row r="81" spans="1:14" x14ac:dyDescent="0.2">
      <c r="A81" s="80"/>
      <c r="B81" s="196"/>
      <c r="C81" s="196"/>
      <c r="D81" s="196"/>
      <c r="E81" s="196"/>
      <c r="F81" s="196"/>
      <c r="G81" s="196"/>
      <c r="H81" s="196"/>
      <c r="I81" s="196"/>
      <c r="J81" s="196"/>
    </row>
    <row r="82" spans="1:14" x14ac:dyDescent="0.2">
      <c r="A82" s="225" t="s">
        <v>200</v>
      </c>
      <c r="B82" s="226"/>
      <c r="C82" s="226"/>
      <c r="D82" s="226"/>
      <c r="E82" s="226"/>
      <c r="F82" s="226"/>
      <c r="G82" s="226"/>
      <c r="H82" s="226"/>
      <c r="I82" s="226"/>
      <c r="J82" s="227"/>
    </row>
    <row r="83" spans="1:14" x14ac:dyDescent="0.2">
      <c r="A83" s="228" t="s">
        <v>199</v>
      </c>
      <c r="B83" s="222"/>
      <c r="C83" s="222"/>
      <c r="D83" s="222"/>
      <c r="E83" s="222"/>
      <c r="F83" s="222"/>
      <c r="G83" s="222"/>
      <c r="H83" s="222"/>
      <c r="I83" s="222"/>
      <c r="J83" s="229"/>
    </row>
    <row r="84" spans="1:14" x14ac:dyDescent="0.2">
      <c r="A84" s="230" t="s">
        <v>197</v>
      </c>
      <c r="B84" s="222"/>
      <c r="C84" s="222"/>
      <c r="D84" s="222"/>
      <c r="E84" s="222"/>
      <c r="F84" s="222"/>
      <c r="G84" s="222"/>
      <c r="H84" s="222"/>
      <c r="I84" s="222"/>
      <c r="J84" s="229"/>
    </row>
    <row r="85" spans="1:14" x14ac:dyDescent="0.2">
      <c r="A85" s="230" t="s">
        <v>198</v>
      </c>
      <c r="B85" s="222"/>
      <c r="C85" s="222"/>
      <c r="D85" s="222"/>
      <c r="E85" s="222"/>
      <c r="F85" s="222"/>
      <c r="G85" s="222"/>
      <c r="H85" s="222"/>
      <c r="I85" s="222"/>
      <c r="J85" s="229"/>
    </row>
    <row r="86" spans="1:14" x14ac:dyDescent="0.2">
      <c r="A86" s="228"/>
      <c r="B86" s="222"/>
      <c r="C86" s="222"/>
      <c r="D86" s="222"/>
      <c r="E86" s="222"/>
      <c r="F86" s="222"/>
      <c r="G86" s="222"/>
      <c r="H86" s="222"/>
      <c r="I86" s="222"/>
      <c r="J86" s="229"/>
    </row>
    <row r="87" spans="1:14" x14ac:dyDescent="0.2">
      <c r="A87" s="228"/>
      <c r="B87" s="223"/>
      <c r="C87" s="224"/>
      <c r="D87" s="224"/>
      <c r="E87" s="224"/>
      <c r="F87" s="224"/>
      <c r="G87" s="224"/>
      <c r="H87" s="224"/>
      <c r="I87" s="224"/>
      <c r="J87" s="231"/>
    </row>
    <row r="88" spans="1:14" x14ac:dyDescent="0.2">
      <c r="A88" s="228" t="s">
        <v>103</v>
      </c>
      <c r="B88" s="223"/>
      <c r="C88" s="224"/>
      <c r="D88" s="224" t="s">
        <v>108</v>
      </c>
      <c r="E88" s="224"/>
      <c r="F88" s="224"/>
      <c r="G88" s="224"/>
      <c r="H88" s="224"/>
      <c r="I88" s="224"/>
      <c r="J88" s="231"/>
    </row>
    <row r="89" spans="1:14" x14ac:dyDescent="0.2">
      <c r="A89" s="228" t="s">
        <v>146</v>
      </c>
      <c r="B89" s="223"/>
      <c r="C89" s="224"/>
      <c r="D89" s="224"/>
      <c r="E89" s="224" t="s">
        <v>196</v>
      </c>
      <c r="F89" s="224"/>
      <c r="G89" s="224"/>
      <c r="H89" s="224"/>
      <c r="I89" s="224"/>
      <c r="J89" s="231"/>
      <c r="K89" s="82"/>
      <c r="L89" s="83"/>
      <c r="M89" s="83"/>
      <c r="N89" s="83"/>
    </row>
    <row r="90" spans="1:14" x14ac:dyDescent="0.2">
      <c r="A90" s="228" t="s">
        <v>171</v>
      </c>
      <c r="B90" s="223"/>
      <c r="C90" s="224"/>
      <c r="D90" s="224"/>
      <c r="E90" s="224"/>
      <c r="F90" s="224"/>
      <c r="G90" s="224"/>
      <c r="H90" s="224"/>
      <c r="I90" s="224"/>
      <c r="J90" s="231"/>
    </row>
    <row r="91" spans="1:14" x14ac:dyDescent="0.2">
      <c r="A91" s="232" t="s">
        <v>172</v>
      </c>
      <c r="B91" s="233"/>
      <c r="C91" s="234"/>
      <c r="D91" s="234"/>
      <c r="E91" s="234"/>
      <c r="F91" s="234"/>
      <c r="G91" s="234"/>
      <c r="H91" s="234"/>
      <c r="I91" s="234"/>
      <c r="J91" s="235"/>
    </row>
    <row r="92" spans="1:14" x14ac:dyDescent="0.2">
      <c r="A92" s="82"/>
      <c r="B92" s="80"/>
      <c r="C92" s="39"/>
      <c r="D92" s="39"/>
      <c r="F92" s="39"/>
      <c r="G92" s="39"/>
      <c r="H92" s="39"/>
      <c r="I92" s="39"/>
      <c r="J92" s="39"/>
    </row>
    <row r="93" spans="1:14" x14ac:dyDescent="0.2">
      <c r="A93" s="39"/>
      <c r="B93" s="80"/>
      <c r="C93" s="39"/>
      <c r="D93" s="39"/>
      <c r="F93" s="39"/>
      <c r="G93" s="39"/>
      <c r="H93" s="39"/>
      <c r="I93" s="39"/>
      <c r="J93" s="39"/>
    </row>
    <row r="94" spans="1:14" x14ac:dyDescent="0.2">
      <c r="A94" s="80"/>
      <c r="B94" s="80"/>
      <c r="C94" s="39"/>
      <c r="D94" s="39"/>
      <c r="F94" s="39"/>
      <c r="G94" s="39"/>
      <c r="H94" s="39"/>
      <c r="I94" s="39"/>
      <c r="J94" s="39"/>
    </row>
    <row r="95" spans="1:14" x14ac:dyDescent="0.2">
      <c r="A95" s="80"/>
      <c r="B95" s="80"/>
      <c r="C95" s="39"/>
      <c r="D95" s="39"/>
      <c r="F95" s="39"/>
      <c r="G95" s="39"/>
      <c r="H95" s="39"/>
      <c r="I95" s="39"/>
      <c r="J95" s="39"/>
    </row>
    <row r="96" spans="1:14" x14ac:dyDescent="0.2">
      <c r="A96" s="80"/>
      <c r="B96" s="80"/>
      <c r="C96" s="39"/>
      <c r="D96" s="39"/>
      <c r="F96" s="39"/>
      <c r="G96" s="39"/>
      <c r="H96" s="39"/>
      <c r="I96" s="39"/>
      <c r="J96" s="39"/>
    </row>
    <row r="97" spans="1:10" x14ac:dyDescent="0.2">
      <c r="A97" s="80"/>
      <c r="B97" s="80"/>
      <c r="C97" s="39"/>
      <c r="D97" s="39"/>
      <c r="F97" s="39"/>
      <c r="G97" s="39"/>
      <c r="H97" s="39"/>
      <c r="I97" s="39"/>
      <c r="J97" s="39"/>
    </row>
    <row r="98" spans="1:10" x14ac:dyDescent="0.2">
      <c r="A98" s="80"/>
      <c r="B98" s="80"/>
      <c r="C98" s="39"/>
      <c r="D98" s="39"/>
      <c r="F98" s="39"/>
      <c r="G98" s="39"/>
      <c r="H98" s="39"/>
      <c r="I98" s="39"/>
      <c r="J98" s="39"/>
    </row>
    <row r="99" spans="1:10" x14ac:dyDescent="0.2">
      <c r="A99" s="80"/>
      <c r="B99" s="80"/>
      <c r="C99" s="39"/>
      <c r="D99" s="39"/>
      <c r="F99" s="39"/>
      <c r="G99" s="39"/>
      <c r="H99" s="39"/>
      <c r="I99" s="39"/>
      <c r="J99" s="39"/>
    </row>
    <row r="100" spans="1:10" x14ac:dyDescent="0.2">
      <c r="A100" s="80"/>
      <c r="B100" s="80"/>
      <c r="C100" s="39"/>
      <c r="D100" s="39"/>
      <c r="F100" s="39"/>
      <c r="G100" s="39"/>
      <c r="H100" s="39"/>
      <c r="I100" s="39"/>
      <c r="J100" s="39"/>
    </row>
    <row r="101" spans="1:10" x14ac:dyDescent="0.2">
      <c r="A101" s="80"/>
      <c r="B101" s="80"/>
      <c r="C101" s="39"/>
      <c r="D101" s="39"/>
      <c r="F101" s="39"/>
      <c r="G101" s="39"/>
      <c r="H101" s="39"/>
      <c r="I101" s="39"/>
      <c r="J101" s="39"/>
    </row>
    <row r="102" spans="1:10" x14ac:dyDescent="0.2">
      <c r="A102" s="80"/>
      <c r="B102" s="80"/>
      <c r="C102" s="39"/>
      <c r="D102" s="39"/>
      <c r="F102" s="39"/>
      <c r="G102" s="39"/>
      <c r="H102" s="39"/>
      <c r="I102" s="39"/>
      <c r="J102" s="39"/>
    </row>
    <row r="103" spans="1:10" x14ac:dyDescent="0.2">
      <c r="A103" s="80"/>
      <c r="B103" s="80"/>
      <c r="C103" s="39"/>
      <c r="D103" s="39"/>
      <c r="F103" s="39"/>
      <c r="G103" s="39"/>
      <c r="H103" s="39"/>
      <c r="I103" s="39"/>
      <c r="J103" s="39"/>
    </row>
    <row r="104" spans="1:10" x14ac:dyDescent="0.2">
      <c r="A104" s="80"/>
      <c r="B104" s="80"/>
      <c r="C104" s="39"/>
      <c r="D104" s="39"/>
      <c r="F104" s="39"/>
      <c r="G104" s="39"/>
      <c r="H104" s="39"/>
      <c r="I104" s="39"/>
      <c r="J104" s="39"/>
    </row>
    <row r="105" spans="1:10" x14ac:dyDescent="0.2">
      <c r="A105" s="80"/>
      <c r="B105" s="80"/>
      <c r="C105" s="39"/>
      <c r="D105" s="39"/>
      <c r="F105" s="39"/>
      <c r="G105" s="39"/>
      <c r="H105" s="39"/>
      <c r="I105" s="39"/>
      <c r="J105" s="39"/>
    </row>
    <row r="106" spans="1:10" x14ac:dyDescent="0.2">
      <c r="A106" s="80"/>
      <c r="B106" s="80"/>
      <c r="C106" s="39"/>
      <c r="D106" s="39"/>
      <c r="F106" s="39"/>
      <c r="G106" s="39"/>
      <c r="H106" s="39"/>
      <c r="I106" s="39"/>
      <c r="J106" s="39"/>
    </row>
    <row r="107" spans="1:10" x14ac:dyDescent="0.2">
      <c r="A107" s="80"/>
      <c r="B107" s="80"/>
      <c r="C107" s="39"/>
      <c r="D107" s="39"/>
      <c r="F107" s="39"/>
      <c r="G107" s="39"/>
      <c r="H107" s="39"/>
      <c r="I107" s="39"/>
      <c r="J107" s="39"/>
    </row>
    <row r="108" spans="1:10" x14ac:dyDescent="0.2">
      <c r="A108" s="80"/>
      <c r="B108" s="80"/>
      <c r="C108" s="39"/>
      <c r="D108" s="39"/>
      <c r="F108" s="39"/>
      <c r="G108" s="39"/>
      <c r="H108" s="39"/>
      <c r="I108" s="39"/>
      <c r="J108" s="39"/>
    </row>
    <row r="109" spans="1:10" x14ac:dyDescent="0.2">
      <c r="A109" s="80"/>
      <c r="B109" s="80"/>
      <c r="C109" s="39"/>
      <c r="D109" s="39"/>
      <c r="F109" s="39"/>
      <c r="G109" s="39"/>
      <c r="H109" s="39"/>
      <c r="I109" s="39"/>
      <c r="J109" s="39"/>
    </row>
    <row r="110" spans="1:10" x14ac:dyDescent="0.2">
      <c r="A110" s="80"/>
      <c r="B110" s="80"/>
      <c r="C110" s="39"/>
      <c r="D110" s="39"/>
      <c r="F110" s="39"/>
      <c r="G110" s="39"/>
      <c r="H110" s="39"/>
      <c r="I110" s="39"/>
      <c r="J110" s="39"/>
    </row>
    <row r="111" spans="1:10" x14ac:dyDescent="0.2">
      <c r="A111" s="80"/>
      <c r="B111" s="80"/>
      <c r="C111" s="39"/>
      <c r="D111" s="39"/>
      <c r="F111" s="39"/>
      <c r="G111" s="39"/>
      <c r="H111" s="39"/>
      <c r="I111" s="39"/>
      <c r="J111" s="39"/>
    </row>
    <row r="112" spans="1:10" x14ac:dyDescent="0.2">
      <c r="A112" s="80"/>
      <c r="B112" s="80"/>
      <c r="C112" s="39"/>
      <c r="D112" s="39"/>
      <c r="F112" s="39"/>
      <c r="G112" s="39"/>
      <c r="H112" s="39"/>
      <c r="I112" s="39"/>
      <c r="J112" s="39"/>
    </row>
    <row r="113" spans="1:10" x14ac:dyDescent="0.2">
      <c r="A113" s="80"/>
      <c r="B113" s="80"/>
      <c r="C113" s="39"/>
      <c r="D113" s="39"/>
      <c r="F113" s="39"/>
      <c r="G113" s="39"/>
      <c r="H113" s="39"/>
      <c r="I113" s="39"/>
      <c r="J113" s="39"/>
    </row>
    <row r="114" spans="1:10" x14ac:dyDescent="0.2">
      <c r="A114" s="80"/>
      <c r="B114" s="80"/>
      <c r="C114" s="39"/>
      <c r="D114" s="39"/>
      <c r="F114" s="39"/>
      <c r="G114" s="39"/>
      <c r="H114" s="39"/>
      <c r="I114" s="39"/>
      <c r="J114" s="39"/>
    </row>
    <row r="115" spans="1:10" x14ac:dyDescent="0.2">
      <c r="A115" s="80"/>
      <c r="B115" s="80"/>
      <c r="C115" s="39"/>
      <c r="D115" s="39"/>
      <c r="F115" s="39"/>
      <c r="G115" s="39"/>
      <c r="H115" s="39"/>
      <c r="I115" s="39"/>
      <c r="J115" s="39"/>
    </row>
    <row r="116" spans="1:10" x14ac:dyDescent="0.2">
      <c r="A116" s="80"/>
      <c r="B116" s="80"/>
      <c r="C116" s="39"/>
      <c r="D116" s="39"/>
      <c r="F116" s="39"/>
      <c r="G116" s="39"/>
      <c r="H116" s="39"/>
      <c r="I116" s="39"/>
      <c r="J116" s="39"/>
    </row>
    <row r="117" spans="1:10" x14ac:dyDescent="0.2">
      <c r="A117" s="80"/>
      <c r="B117" s="80"/>
      <c r="C117" s="39"/>
      <c r="D117" s="39"/>
      <c r="F117" s="39"/>
      <c r="G117" s="39"/>
      <c r="H117" s="39"/>
      <c r="I117" s="39"/>
      <c r="J117" s="39"/>
    </row>
    <row r="118" spans="1:10" x14ac:dyDescent="0.2">
      <c r="A118" s="80"/>
      <c r="B118" s="80"/>
      <c r="C118" s="39"/>
      <c r="D118" s="39"/>
      <c r="F118" s="39"/>
      <c r="G118" s="39"/>
      <c r="H118" s="39"/>
      <c r="I118" s="39"/>
      <c r="J118" s="39"/>
    </row>
    <row r="119" spans="1:10" x14ac:dyDescent="0.2">
      <c r="A119" s="80"/>
      <c r="B119" s="80"/>
      <c r="C119" s="39"/>
      <c r="D119" s="39"/>
      <c r="F119" s="39"/>
      <c r="G119" s="39"/>
      <c r="H119" s="39"/>
      <c r="I119" s="39"/>
      <c r="J119" s="39"/>
    </row>
    <row r="120" spans="1:10" x14ac:dyDescent="0.2">
      <c r="A120" s="80"/>
      <c r="B120" s="80"/>
      <c r="C120" s="39"/>
      <c r="D120" s="39"/>
      <c r="F120" s="39"/>
      <c r="G120" s="39"/>
      <c r="H120" s="39"/>
      <c r="I120" s="39"/>
      <c r="J120" s="39"/>
    </row>
    <row r="121" spans="1:10" x14ac:dyDescent="0.2">
      <c r="A121" s="80"/>
      <c r="B121" s="80"/>
      <c r="C121" s="39"/>
      <c r="D121" s="39"/>
      <c r="F121" s="39"/>
      <c r="G121" s="39"/>
      <c r="H121" s="39"/>
      <c r="I121" s="39"/>
      <c r="J121" s="39"/>
    </row>
    <row r="122" spans="1:10" x14ac:dyDescent="0.2">
      <c r="A122" s="80"/>
      <c r="B122" s="80"/>
      <c r="C122" s="39"/>
      <c r="D122" s="39"/>
      <c r="F122" s="39"/>
      <c r="G122" s="39"/>
      <c r="H122" s="39"/>
      <c r="I122" s="39"/>
      <c r="J122" s="39"/>
    </row>
    <row r="123" spans="1:10" x14ac:dyDescent="0.2">
      <c r="A123" s="80"/>
      <c r="B123" s="80"/>
      <c r="C123" s="39"/>
      <c r="D123" s="39"/>
      <c r="F123" s="39"/>
      <c r="G123" s="39"/>
      <c r="H123" s="39"/>
      <c r="I123" s="39"/>
      <c r="J123" s="39"/>
    </row>
    <row r="124" spans="1:10" x14ac:dyDescent="0.2">
      <c r="A124" s="80"/>
      <c r="B124" s="80"/>
      <c r="C124" s="39"/>
      <c r="D124" s="39"/>
      <c r="F124" s="39"/>
      <c r="G124" s="39"/>
      <c r="H124" s="39"/>
      <c r="I124" s="39"/>
      <c r="J124" s="39"/>
    </row>
    <row r="125" spans="1:10" x14ac:dyDescent="0.2">
      <c r="A125" s="80"/>
      <c r="B125" s="80"/>
      <c r="C125" s="39"/>
      <c r="D125" s="39"/>
      <c r="F125" s="39"/>
      <c r="G125" s="39"/>
      <c r="H125" s="39"/>
      <c r="I125" s="39"/>
      <c r="J125" s="39"/>
    </row>
    <row r="126" spans="1:10" x14ac:dyDescent="0.2">
      <c r="A126" s="80"/>
      <c r="B126" s="80"/>
      <c r="C126" s="39"/>
      <c r="D126" s="39"/>
      <c r="F126" s="39"/>
      <c r="G126" s="39"/>
      <c r="H126" s="39"/>
      <c r="I126" s="39"/>
      <c r="J126" s="39"/>
    </row>
    <row r="127" spans="1:10" x14ac:dyDescent="0.2">
      <c r="A127" s="80"/>
      <c r="B127" s="80"/>
      <c r="C127" s="39"/>
      <c r="D127" s="39"/>
      <c r="F127" s="39"/>
      <c r="G127" s="39"/>
      <c r="H127" s="39"/>
      <c r="I127" s="39"/>
      <c r="J127" s="39"/>
    </row>
    <row r="128" spans="1:10" x14ac:dyDescent="0.2">
      <c r="A128" s="80"/>
      <c r="B128" s="80"/>
      <c r="C128" s="39"/>
      <c r="D128" s="39"/>
      <c r="F128" s="39"/>
      <c r="G128" s="39"/>
      <c r="H128" s="39"/>
      <c r="I128" s="39"/>
      <c r="J128" s="39"/>
    </row>
    <row r="129" spans="1:10" x14ac:dyDescent="0.2">
      <c r="A129" s="80"/>
      <c r="B129" s="80"/>
      <c r="C129" s="39"/>
      <c r="D129" s="39"/>
      <c r="F129" s="39"/>
      <c r="G129" s="39"/>
      <c r="H129" s="39"/>
      <c r="I129" s="39"/>
      <c r="J129" s="39"/>
    </row>
  </sheetData>
  <phoneticPr fontId="2" type="noConversion"/>
  <pageMargins left="0.75" right="0.75" top="1" bottom="1" header="0.5" footer="0.5"/>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Sources &amp; Uses Overall</vt:lpstr>
      <vt:lpstr>Uses Detail</vt:lpstr>
      <vt:lpstr>S&amp;U Cash Flow by Stage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Gessner</dc:creator>
  <cp:lastModifiedBy>SReid500</cp:lastModifiedBy>
  <cp:lastPrinted>2017-06-22T01:59:05Z</cp:lastPrinted>
  <dcterms:created xsi:type="dcterms:W3CDTF">2005-10-24T01:42:29Z</dcterms:created>
  <dcterms:modified xsi:type="dcterms:W3CDTF">2021-01-13T20:44:04Z</dcterms:modified>
</cp:coreProperties>
</file>